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2"/>
  <workbookPr/>
  <mc:AlternateContent xmlns:mc="http://schemas.openxmlformats.org/markup-compatibility/2006">
    <mc:Choice Requires="x15">
      <x15ac:absPath xmlns:x15ac="http://schemas.microsoft.com/office/spreadsheetml/2010/11/ac" url="/Users/Erwin 1/Documents/PEP/"/>
    </mc:Choice>
  </mc:AlternateContent>
  <xr:revisionPtr revIDLastSave="0" documentId="13_ncr:1_{9BB5E04F-9B61-D248-8FD2-A99ECBFFA897}" xr6:coauthVersionLast="47" xr6:coauthVersionMax="47" xr10:uidLastSave="{00000000-0000-0000-0000-000000000000}"/>
  <bookViews>
    <workbookView xWindow="0" yWindow="500" windowWidth="32420" windowHeight="21080" tabRatio="439" xr2:uid="{00000000-000D-0000-FFFF-FFFF00000000}"/>
  </bookViews>
  <sheets>
    <sheet name="Data Entry-V" sheetId="6" r:id="rId1"/>
    <sheet name="Data Entry-B" sheetId="1" r:id="rId2"/>
    <sheet name="Stars" sheetId="2" r:id="rId3"/>
    <sheet name="Airmass-V" sheetId="7" r:id="rId4"/>
    <sheet name="Airmass-B" sheetId="5" r:id="rId5"/>
    <sheet name="Read me" sheetId="3" r:id="rId6"/>
  </sheets>
  <definedNames>
    <definedName name="_xlnm._FilterDatabase" localSheetId="3" hidden="1">'Airmass-V'!$A$1:$D$6</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4"/>
    </ext>
  </extLst>
</workbook>
</file>

<file path=xl/calcChain.xml><?xml version="1.0" encoding="utf-8"?>
<calcChain xmlns="http://schemas.openxmlformats.org/spreadsheetml/2006/main">
  <c r="E16" i="6" l="1"/>
  <c r="E17" i="6" s="1"/>
  <c r="E18" i="6" s="1"/>
  <c r="E19" i="6" s="1"/>
  <c r="E20" i="6" s="1"/>
  <c r="E21" i="6" s="1"/>
  <c r="E22" i="6" s="1"/>
  <c r="E23" i="6" s="1"/>
  <c r="E24" i="6" s="1"/>
  <c r="E25" i="6" s="1"/>
  <c r="A2" i="7" l="1"/>
  <c r="A24" i="1"/>
  <c r="A22" i="1"/>
  <c r="A20" i="1"/>
  <c r="A18" i="1"/>
  <c r="A16" i="1"/>
  <c r="B12" i="1"/>
  <c r="E16" i="1" s="1"/>
  <c r="E13" i="1"/>
  <c r="A4" i="7" l="1"/>
  <c r="A2" i="5"/>
  <c r="E17" i="1"/>
  <c r="E18" i="1" s="1"/>
  <c r="C24" i="6"/>
  <c r="C24" i="1" s="1"/>
  <c r="B24" i="6"/>
  <c r="C22" i="6"/>
  <c r="B22" i="6"/>
  <c r="C20" i="6"/>
  <c r="B20" i="6"/>
  <c r="C18" i="6"/>
  <c r="C18" i="1" s="1"/>
  <c r="B18" i="6"/>
  <c r="B18" i="1" s="1"/>
  <c r="C16" i="6"/>
  <c r="C16" i="1" s="1"/>
  <c r="B16" i="6"/>
  <c r="A5" i="7" l="1"/>
  <c r="E19" i="1"/>
  <c r="E20" i="1" s="1"/>
  <c r="A3" i="5"/>
  <c r="B22" i="1"/>
  <c r="C22" i="1"/>
  <c r="B16" i="1"/>
  <c r="B20" i="1"/>
  <c r="B24" i="1"/>
  <c r="C20" i="1"/>
  <c r="A6" i="7" l="1"/>
  <c r="E21" i="1"/>
  <c r="A4" i="5"/>
  <c r="J17" i="6"/>
  <c r="J18" i="6"/>
  <c r="J19" i="6"/>
  <c r="J20" i="6"/>
  <c r="J21" i="6"/>
  <c r="J22" i="6"/>
  <c r="J23" i="6"/>
  <c r="J24" i="6"/>
  <c r="J25" i="6"/>
  <c r="J16" i="6"/>
  <c r="E22" i="1" l="1"/>
  <c r="A5" i="5" s="1"/>
  <c r="J25" i="1"/>
  <c r="J24" i="1"/>
  <c r="J23" i="1"/>
  <c r="J22" i="1"/>
  <c r="J21" i="1"/>
  <c r="J20" i="1"/>
  <c r="J19" i="1"/>
  <c r="J18" i="1"/>
  <c r="J17" i="1"/>
  <c r="J16" i="1"/>
  <c r="E23" i="1" l="1"/>
  <c r="E24" i="1" s="1"/>
  <c r="K22" i="1"/>
  <c r="K20" i="1"/>
  <c r="K18" i="1"/>
  <c r="N18" i="1" s="1"/>
  <c r="M18" i="1" s="1"/>
  <c r="K16" i="1"/>
  <c r="K24" i="1"/>
  <c r="G3" i="2"/>
  <c r="G4" i="2"/>
  <c r="G5"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2" i="2"/>
  <c r="A6" i="5" l="1"/>
  <c r="E25" i="1"/>
  <c r="N24" i="1"/>
  <c r="M24" i="1" s="1"/>
  <c r="N20" i="1"/>
  <c r="M20" i="1" s="1"/>
  <c r="N16" i="1"/>
  <c r="M16" i="1" s="1"/>
  <c r="N22" i="1"/>
  <c r="M22" i="1" s="1"/>
  <c r="K24" i="6"/>
  <c r="N24" i="6" s="1"/>
  <c r="M24" i="6" s="1"/>
  <c r="K22" i="6"/>
  <c r="N22" i="6" s="1"/>
  <c r="M22" i="6" s="1"/>
  <c r="K20" i="6"/>
  <c r="N20" i="6" s="1"/>
  <c r="M20" i="6" s="1"/>
  <c r="K18" i="6"/>
  <c r="N18" i="6" s="1"/>
  <c r="M18" i="6" s="1"/>
  <c r="K16" i="6"/>
  <c r="N16" i="6" s="1"/>
  <c r="M16" i="6" s="1"/>
  <c r="F8" i="6"/>
  <c r="G8" i="6" s="1"/>
  <c r="F9" i="6"/>
  <c r="G9" i="6" s="1"/>
  <c r="H94" i="2" l="1"/>
  <c r="I94" i="2" s="1"/>
  <c r="J94" i="2" s="1"/>
  <c r="K94" i="2" s="1"/>
  <c r="H86" i="2"/>
  <c r="I86" i="2" s="1"/>
  <c r="J86" i="2" s="1"/>
  <c r="K86" i="2" s="1"/>
  <c r="H80" i="2"/>
  <c r="I80" i="2" s="1"/>
  <c r="J80" i="2" s="1"/>
  <c r="K80" i="2" s="1"/>
  <c r="H72" i="2"/>
  <c r="I72" i="2" s="1"/>
  <c r="J72" i="2" s="1"/>
  <c r="K72" i="2" s="1"/>
  <c r="H67" i="2"/>
  <c r="I67" i="2" s="1"/>
  <c r="J67" i="2" s="1"/>
  <c r="K67" i="2" s="1"/>
  <c r="H61" i="2"/>
  <c r="I61" i="2" s="1"/>
  <c r="J61" i="2" s="1"/>
  <c r="K61" i="2" s="1"/>
  <c r="H59" i="2"/>
  <c r="I59" i="2" s="1"/>
  <c r="J59" i="2" s="1"/>
  <c r="K59" i="2" s="1"/>
  <c r="H49" i="2"/>
  <c r="I49" i="2" s="1"/>
  <c r="J49" i="2" s="1"/>
  <c r="K49" i="2" s="1"/>
  <c r="H44" i="2"/>
  <c r="I44" i="2" s="1"/>
  <c r="J44" i="2" s="1"/>
  <c r="K44" i="2" s="1"/>
  <c r="H87" i="2"/>
  <c r="I87" i="2" s="1"/>
  <c r="J87" i="2" s="1"/>
  <c r="K87" i="2" s="1"/>
  <c r="H81" i="2"/>
  <c r="I81" i="2" s="1"/>
  <c r="J81" i="2" s="1"/>
  <c r="K81" i="2" s="1"/>
  <c r="H64" i="2"/>
  <c r="I64" i="2" s="1"/>
  <c r="J64" i="2" s="1"/>
  <c r="K64" i="2" s="1"/>
  <c r="H62" i="2"/>
  <c r="I62" i="2" s="1"/>
  <c r="J62" i="2" s="1"/>
  <c r="K62" i="2" s="1"/>
  <c r="H54" i="2"/>
  <c r="I54" i="2" s="1"/>
  <c r="J54" i="2" s="1"/>
  <c r="K54" i="2" s="1"/>
  <c r="H50" i="2"/>
  <c r="I50" i="2" s="1"/>
  <c r="J50" i="2" s="1"/>
  <c r="K50" i="2" s="1"/>
  <c r="H85" i="2"/>
  <c r="I85" i="2" s="1"/>
  <c r="J85" i="2" s="1"/>
  <c r="K85" i="2" s="1"/>
  <c r="H88" i="2"/>
  <c r="I88" i="2" s="1"/>
  <c r="J88" i="2" s="1"/>
  <c r="K88" i="2" s="1"/>
  <c r="H65" i="2"/>
  <c r="I65" i="2" s="1"/>
  <c r="J65" i="2" s="1"/>
  <c r="K65" i="2" s="1"/>
  <c r="H57" i="2"/>
  <c r="I57" i="2" s="1"/>
  <c r="J57" i="2" s="1"/>
  <c r="K57" i="2" s="1"/>
  <c r="H51" i="2"/>
  <c r="I51" i="2" s="1"/>
  <c r="J51" i="2" s="1"/>
  <c r="K51" i="2" s="1"/>
  <c r="H84" i="2"/>
  <c r="I84" i="2" s="1"/>
  <c r="J84" i="2" s="1"/>
  <c r="K84" i="2" s="1"/>
  <c r="H74" i="2"/>
  <c r="I74" i="2" s="1"/>
  <c r="J74" i="2" s="1"/>
  <c r="K74" i="2" s="1"/>
  <c r="H70" i="2"/>
  <c r="I70" i="2" s="1"/>
  <c r="J70" i="2" s="1"/>
  <c r="K70" i="2" s="1"/>
  <c r="H48" i="2"/>
  <c r="I48" i="2" s="1"/>
  <c r="J48" i="2" s="1"/>
  <c r="K48" i="2" s="1"/>
  <c r="H91" i="2"/>
  <c r="I91" i="2" s="1"/>
  <c r="J91" i="2" s="1"/>
  <c r="K91" i="2" s="1"/>
  <c r="H68" i="2"/>
  <c r="I68" i="2" s="1"/>
  <c r="J68" i="2" s="1"/>
  <c r="K68" i="2" s="1"/>
  <c r="H45" i="2"/>
  <c r="I45" i="2" s="1"/>
  <c r="J45" i="2" s="1"/>
  <c r="K45" i="2" s="1"/>
  <c r="H83" i="2"/>
  <c r="I83" i="2" s="1"/>
  <c r="J83" i="2" s="1"/>
  <c r="K83" i="2" s="1"/>
  <c r="H76" i="2"/>
  <c r="I76" i="2" s="1"/>
  <c r="J76" i="2" s="1"/>
  <c r="K76" i="2" s="1"/>
  <c r="H69" i="2"/>
  <c r="I69" i="2" s="1"/>
  <c r="J69" i="2" s="1"/>
  <c r="K69" i="2" s="1"/>
  <c r="H55" i="2"/>
  <c r="I55" i="2" s="1"/>
  <c r="J55" i="2" s="1"/>
  <c r="K55" i="2" s="1"/>
  <c r="H90" i="2"/>
  <c r="I90" i="2" s="1"/>
  <c r="J90" i="2" s="1"/>
  <c r="K90" i="2" s="1"/>
  <c r="H79" i="2"/>
  <c r="I79" i="2" s="1"/>
  <c r="J79" i="2" s="1"/>
  <c r="K79" i="2" s="1"/>
  <c r="H66" i="2"/>
  <c r="I66" i="2" s="1"/>
  <c r="J66" i="2" s="1"/>
  <c r="K66" i="2" s="1"/>
  <c r="H58" i="2"/>
  <c r="I58" i="2" s="1"/>
  <c r="J58" i="2" s="1"/>
  <c r="K58" i="2" s="1"/>
  <c r="H43" i="2"/>
  <c r="I43" i="2" s="1"/>
  <c r="J43" i="2" s="1"/>
  <c r="K43" i="2" s="1"/>
  <c r="H97" i="2"/>
  <c r="I97" i="2" s="1"/>
  <c r="J97" i="2" s="1"/>
  <c r="K97" i="2" s="1"/>
  <c r="H4" i="2"/>
  <c r="I4" i="2" s="1"/>
  <c r="J4" i="2" s="1"/>
  <c r="K4" i="2" s="1"/>
  <c r="H8" i="2"/>
  <c r="I8" i="2" s="1"/>
  <c r="J8" i="2" s="1"/>
  <c r="K8" i="2" s="1"/>
  <c r="H12" i="2"/>
  <c r="I12" i="2" s="1"/>
  <c r="J12" i="2" s="1"/>
  <c r="K12" i="2" s="1"/>
  <c r="H16" i="2"/>
  <c r="I16" i="2" s="1"/>
  <c r="J16" i="2" s="1"/>
  <c r="K16" i="2" s="1"/>
  <c r="H20" i="2"/>
  <c r="I20" i="2" s="1"/>
  <c r="J20" i="2" s="1"/>
  <c r="K20" i="2" s="1"/>
  <c r="H24" i="2"/>
  <c r="I24" i="2" s="1"/>
  <c r="J24" i="2" s="1"/>
  <c r="K24" i="2" s="1"/>
  <c r="H28" i="2"/>
  <c r="I28" i="2" s="1"/>
  <c r="J28" i="2" s="1"/>
  <c r="K28" i="2" s="1"/>
  <c r="H32" i="2"/>
  <c r="I32" i="2" s="1"/>
  <c r="J32" i="2" s="1"/>
  <c r="K32" i="2" s="1"/>
  <c r="H36" i="2"/>
  <c r="I36" i="2" s="1"/>
  <c r="J36" i="2" s="1"/>
  <c r="K36" i="2" s="1"/>
  <c r="H40" i="2"/>
  <c r="I40" i="2" s="1"/>
  <c r="J40" i="2" s="1"/>
  <c r="K40" i="2" s="1"/>
  <c r="H52" i="2"/>
  <c r="I52" i="2" s="1"/>
  <c r="J52" i="2" s="1"/>
  <c r="K52" i="2" s="1"/>
  <c r="H63" i="2"/>
  <c r="I63" i="2" s="1"/>
  <c r="J63" i="2" s="1"/>
  <c r="K63" i="2" s="1"/>
  <c r="H78" i="2"/>
  <c r="I78" i="2" s="1"/>
  <c r="J78" i="2" s="1"/>
  <c r="K78" i="2" s="1"/>
  <c r="H93" i="2"/>
  <c r="I93" i="2" s="1"/>
  <c r="J93" i="2" s="1"/>
  <c r="K93" i="2" s="1"/>
  <c r="H77" i="2"/>
  <c r="I77" i="2" s="1"/>
  <c r="J77" i="2" s="1"/>
  <c r="K77" i="2" s="1"/>
  <c r="H5" i="2"/>
  <c r="I5" i="2" s="1"/>
  <c r="J5" i="2" s="1"/>
  <c r="K5" i="2" s="1"/>
  <c r="H9" i="2"/>
  <c r="I9" i="2" s="1"/>
  <c r="J9" i="2" s="1"/>
  <c r="K9" i="2" s="1"/>
  <c r="H13" i="2"/>
  <c r="I13" i="2" s="1"/>
  <c r="J13" i="2" s="1"/>
  <c r="K13" i="2" s="1"/>
  <c r="H17" i="2"/>
  <c r="I17" i="2" s="1"/>
  <c r="J17" i="2" s="1"/>
  <c r="K17" i="2" s="1"/>
  <c r="H21" i="2"/>
  <c r="I21" i="2" s="1"/>
  <c r="J21" i="2" s="1"/>
  <c r="K21" i="2" s="1"/>
  <c r="H25" i="2"/>
  <c r="I25" i="2" s="1"/>
  <c r="J25" i="2" s="1"/>
  <c r="K25" i="2" s="1"/>
  <c r="H29" i="2"/>
  <c r="I29" i="2" s="1"/>
  <c r="J29" i="2" s="1"/>
  <c r="K29" i="2" s="1"/>
  <c r="H33" i="2"/>
  <c r="I33" i="2" s="1"/>
  <c r="J33" i="2" s="1"/>
  <c r="K33" i="2" s="1"/>
  <c r="H37" i="2"/>
  <c r="I37" i="2" s="1"/>
  <c r="J37" i="2" s="1"/>
  <c r="K37" i="2" s="1"/>
  <c r="H41" i="2"/>
  <c r="I41" i="2" s="1"/>
  <c r="J41" i="2" s="1"/>
  <c r="K41" i="2" s="1"/>
  <c r="H53" i="2"/>
  <c r="I53" i="2" s="1"/>
  <c r="J53" i="2" s="1"/>
  <c r="K53" i="2" s="1"/>
  <c r="H71" i="2"/>
  <c r="I71" i="2" s="1"/>
  <c r="J71" i="2" s="1"/>
  <c r="K71" i="2" s="1"/>
  <c r="H82" i="2"/>
  <c r="I82" i="2" s="1"/>
  <c r="J82" i="2" s="1"/>
  <c r="K82" i="2" s="1"/>
  <c r="H95" i="2"/>
  <c r="I95" i="2" s="1"/>
  <c r="J95" i="2" s="1"/>
  <c r="K95" i="2" s="1"/>
  <c r="H98" i="2"/>
  <c r="I98" i="2" s="1"/>
  <c r="J98" i="2" s="1"/>
  <c r="K98" i="2" s="1"/>
  <c r="H42" i="2"/>
  <c r="I42" i="2" s="1"/>
  <c r="J42" i="2" s="1"/>
  <c r="K42" i="2" s="1"/>
  <c r="H6" i="2"/>
  <c r="I6" i="2" s="1"/>
  <c r="J6" i="2" s="1"/>
  <c r="K6" i="2" s="1"/>
  <c r="H10" i="2"/>
  <c r="I10" i="2" s="1"/>
  <c r="J10" i="2" s="1"/>
  <c r="K10" i="2" s="1"/>
  <c r="H14" i="2"/>
  <c r="I14" i="2" s="1"/>
  <c r="J14" i="2" s="1"/>
  <c r="K14" i="2" s="1"/>
  <c r="H18" i="2"/>
  <c r="I18" i="2" s="1"/>
  <c r="J18" i="2" s="1"/>
  <c r="K18" i="2" s="1"/>
  <c r="H22" i="2"/>
  <c r="I22" i="2" s="1"/>
  <c r="J22" i="2" s="1"/>
  <c r="K22" i="2" s="1"/>
  <c r="H26" i="2"/>
  <c r="I26" i="2" s="1"/>
  <c r="J26" i="2" s="1"/>
  <c r="K26" i="2" s="1"/>
  <c r="H30" i="2"/>
  <c r="I30" i="2" s="1"/>
  <c r="J30" i="2" s="1"/>
  <c r="K30" i="2" s="1"/>
  <c r="H34" i="2"/>
  <c r="I34" i="2" s="1"/>
  <c r="J34" i="2" s="1"/>
  <c r="K34" i="2" s="1"/>
  <c r="H38" i="2"/>
  <c r="I38" i="2" s="1"/>
  <c r="J38" i="2" s="1"/>
  <c r="K38" i="2" s="1"/>
  <c r="H46" i="2"/>
  <c r="I46" i="2" s="1"/>
  <c r="J46" i="2" s="1"/>
  <c r="K46" i="2" s="1"/>
  <c r="H56" i="2"/>
  <c r="I56" i="2" s="1"/>
  <c r="J56" i="2" s="1"/>
  <c r="K56" i="2" s="1"/>
  <c r="H73" i="2"/>
  <c r="I73" i="2" s="1"/>
  <c r="J73" i="2" s="1"/>
  <c r="K73" i="2" s="1"/>
  <c r="H89" i="2"/>
  <c r="I89" i="2" s="1"/>
  <c r="J89" i="2" s="1"/>
  <c r="K89" i="2" s="1"/>
  <c r="H96" i="2"/>
  <c r="I96" i="2" s="1"/>
  <c r="J96" i="2" s="1"/>
  <c r="K96" i="2" s="1"/>
  <c r="H3" i="2"/>
  <c r="I3" i="2" s="1"/>
  <c r="J3" i="2" s="1"/>
  <c r="K3" i="2" s="1"/>
  <c r="H7" i="2"/>
  <c r="I7" i="2" s="1"/>
  <c r="J7" i="2" s="1"/>
  <c r="K7" i="2" s="1"/>
  <c r="H11" i="2"/>
  <c r="I11" i="2" s="1"/>
  <c r="J11" i="2" s="1"/>
  <c r="K11" i="2" s="1"/>
  <c r="H15" i="2"/>
  <c r="I15" i="2" s="1"/>
  <c r="J15" i="2" s="1"/>
  <c r="K15" i="2" s="1"/>
  <c r="H19" i="2"/>
  <c r="I19" i="2" s="1"/>
  <c r="J19" i="2" s="1"/>
  <c r="K19" i="2" s="1"/>
  <c r="H23" i="2"/>
  <c r="I23" i="2" s="1"/>
  <c r="J23" i="2" s="1"/>
  <c r="K23" i="2" s="1"/>
  <c r="H27" i="2"/>
  <c r="I27" i="2" s="1"/>
  <c r="J27" i="2" s="1"/>
  <c r="K27" i="2" s="1"/>
  <c r="H31" i="2"/>
  <c r="I31" i="2" s="1"/>
  <c r="J31" i="2" s="1"/>
  <c r="K31" i="2" s="1"/>
  <c r="H35" i="2"/>
  <c r="I35" i="2" s="1"/>
  <c r="J35" i="2" s="1"/>
  <c r="K35" i="2" s="1"/>
  <c r="H39" i="2"/>
  <c r="I39" i="2" s="1"/>
  <c r="J39" i="2" s="1"/>
  <c r="K39" i="2" s="1"/>
  <c r="H47" i="2"/>
  <c r="I47" i="2" s="1"/>
  <c r="J47" i="2" s="1"/>
  <c r="K47" i="2" s="1"/>
  <c r="H60" i="2"/>
  <c r="I60" i="2" s="1"/>
  <c r="J60" i="2" s="1"/>
  <c r="K60" i="2" s="1"/>
  <c r="H75" i="2"/>
  <c r="I75" i="2" s="1"/>
  <c r="J75" i="2" s="1"/>
  <c r="K75" i="2" s="1"/>
  <c r="H92" i="2"/>
  <c r="I92" i="2" s="1"/>
  <c r="J92" i="2" s="1"/>
  <c r="K92" i="2" s="1"/>
  <c r="H2" i="2"/>
  <c r="I2" i="2" s="1"/>
  <c r="B6" i="5"/>
  <c r="C6" i="5" s="1"/>
  <c r="D6" i="5" s="1"/>
  <c r="L24" i="1" s="1"/>
  <c r="B4" i="7"/>
  <c r="C4" i="7" s="1"/>
  <c r="D4" i="7" s="1"/>
  <c r="L20" i="6" s="1"/>
  <c r="B6" i="7"/>
  <c r="C6" i="7" s="1"/>
  <c r="D6" i="7" s="1"/>
  <c r="L24" i="6" s="1"/>
  <c r="B5" i="5"/>
  <c r="C5" i="5" s="1"/>
  <c r="D5" i="5" s="1"/>
  <c r="L22" i="1" s="1"/>
  <c r="B2" i="5"/>
  <c r="C2" i="5" s="1"/>
  <c r="D2" i="5" s="1"/>
  <c r="L16" i="1" s="1"/>
  <c r="B4" i="5"/>
  <c r="C4" i="5" s="1"/>
  <c r="D4" i="5" s="1"/>
  <c r="L20" i="1" s="1"/>
  <c r="B5" i="7"/>
  <c r="C5" i="7" s="1"/>
  <c r="D5" i="7" s="1"/>
  <c r="L22" i="6" s="1"/>
  <c r="B2" i="7"/>
  <c r="B3" i="5"/>
  <c r="C3" i="5" s="1"/>
  <c r="D3" i="5" s="1"/>
  <c r="L18" i="1" s="1"/>
  <c r="M27" i="1" l="1"/>
  <c r="M28" i="1"/>
  <c r="L35" i="2"/>
  <c r="M35" i="2"/>
  <c r="N35" i="2" s="1"/>
  <c r="O35" i="2" s="1"/>
  <c r="L19" i="2"/>
  <c r="M19" i="2"/>
  <c r="N19" i="2" s="1"/>
  <c r="O19" i="2" s="1"/>
  <c r="L3" i="2"/>
  <c r="M3" i="2"/>
  <c r="N3" i="2" s="1"/>
  <c r="O3" i="2" s="1"/>
  <c r="L56" i="2"/>
  <c r="M56" i="2"/>
  <c r="N56" i="2" s="1"/>
  <c r="O56" i="2" s="1"/>
  <c r="M30" i="2"/>
  <c r="L30" i="2"/>
  <c r="M14" i="2"/>
  <c r="L14" i="2"/>
  <c r="L98" i="2"/>
  <c r="M98" i="2"/>
  <c r="N98" i="2" s="1"/>
  <c r="O98" i="2" s="1"/>
  <c r="L53" i="2"/>
  <c r="M53" i="2"/>
  <c r="N53" i="2" s="1"/>
  <c r="O53" i="2" s="1"/>
  <c r="L29" i="2"/>
  <c r="M29" i="2"/>
  <c r="N29" i="2" s="1"/>
  <c r="O29" i="2" s="1"/>
  <c r="L13" i="2"/>
  <c r="M13" i="2"/>
  <c r="N13" i="2" s="1"/>
  <c r="O13" i="2" s="1"/>
  <c r="L93" i="2"/>
  <c r="M93" i="2"/>
  <c r="N93" i="2" s="1"/>
  <c r="O93" i="2" s="1"/>
  <c r="L40" i="2"/>
  <c r="M40" i="2"/>
  <c r="N40" i="2" s="1"/>
  <c r="O40" i="2" s="1"/>
  <c r="L24" i="2"/>
  <c r="M24" i="2"/>
  <c r="N24" i="2" s="1"/>
  <c r="O24" i="2" s="1"/>
  <c r="L8" i="2"/>
  <c r="M8" i="2"/>
  <c r="N8" i="2" s="1"/>
  <c r="O8" i="2" s="1"/>
  <c r="L58" i="2"/>
  <c r="M58" i="2"/>
  <c r="N58" i="2" s="1"/>
  <c r="O58" i="2" s="1"/>
  <c r="M55" i="2"/>
  <c r="L55" i="2"/>
  <c r="L45" i="2"/>
  <c r="M45" i="2"/>
  <c r="N45" i="2" s="1"/>
  <c r="O45" i="2" s="1"/>
  <c r="M70" i="2"/>
  <c r="L70" i="2"/>
  <c r="M57" i="2"/>
  <c r="L57" i="2"/>
  <c r="L50" i="2"/>
  <c r="M50" i="2"/>
  <c r="N50" i="2" s="1"/>
  <c r="O50" i="2" s="1"/>
  <c r="M81" i="2"/>
  <c r="L81" i="2"/>
  <c r="L59" i="2"/>
  <c r="M59" i="2"/>
  <c r="N59" i="2" s="1"/>
  <c r="O59" i="2" s="1"/>
  <c r="L80" i="2"/>
  <c r="M80" i="2"/>
  <c r="N80" i="2" s="1"/>
  <c r="O80" i="2" s="1"/>
  <c r="L75" i="2"/>
  <c r="M75" i="2"/>
  <c r="N75" i="2" s="1"/>
  <c r="O75" i="2" s="1"/>
  <c r="M60" i="2"/>
  <c r="L60" i="2"/>
  <c r="L15" i="2"/>
  <c r="M15" i="2"/>
  <c r="N15" i="2" s="1"/>
  <c r="O15" i="2" s="1"/>
  <c r="M46" i="2"/>
  <c r="L46" i="2"/>
  <c r="L26" i="2"/>
  <c r="M26" i="2"/>
  <c r="N26" i="2" s="1"/>
  <c r="O26" i="2" s="1"/>
  <c r="L10" i="2"/>
  <c r="M10" i="2"/>
  <c r="N10" i="2" s="1"/>
  <c r="O10" i="2" s="1"/>
  <c r="M95" i="2"/>
  <c r="L95" i="2"/>
  <c r="M41" i="2"/>
  <c r="L41" i="2"/>
  <c r="M25" i="2"/>
  <c r="L25" i="2"/>
  <c r="M9" i="2"/>
  <c r="L9" i="2"/>
  <c r="M78" i="2"/>
  <c r="L78" i="2"/>
  <c r="M36" i="2"/>
  <c r="L36" i="2"/>
  <c r="M20" i="2"/>
  <c r="L20" i="2"/>
  <c r="M4" i="2"/>
  <c r="L4" i="2"/>
  <c r="L66" i="2"/>
  <c r="M66" i="2"/>
  <c r="N66" i="2" s="1"/>
  <c r="O66" i="2" s="1"/>
  <c r="L69" i="2"/>
  <c r="M69" i="2"/>
  <c r="N69" i="2" s="1"/>
  <c r="O69" i="2" s="1"/>
  <c r="M68" i="2"/>
  <c r="L68" i="2"/>
  <c r="L74" i="2"/>
  <c r="M74" i="2"/>
  <c r="N74" i="2" s="1"/>
  <c r="O74" i="2" s="1"/>
  <c r="M65" i="2"/>
  <c r="L65" i="2"/>
  <c r="M54" i="2"/>
  <c r="L54" i="2"/>
  <c r="L87" i="2"/>
  <c r="M87" i="2"/>
  <c r="N87" i="2" s="1"/>
  <c r="O87" i="2" s="1"/>
  <c r="L61" i="2"/>
  <c r="M61" i="2"/>
  <c r="N61" i="2" s="1"/>
  <c r="O61" i="2" s="1"/>
  <c r="M86" i="2"/>
  <c r="L86" i="2"/>
  <c r="L96" i="2"/>
  <c r="M96" i="2"/>
  <c r="N96" i="2" s="1"/>
  <c r="O96" i="2" s="1"/>
  <c r="L47" i="2"/>
  <c r="M47" i="2"/>
  <c r="N47" i="2" s="1"/>
  <c r="O47" i="2" s="1"/>
  <c r="L11" i="2"/>
  <c r="M11" i="2"/>
  <c r="N11" i="2" s="1"/>
  <c r="O11" i="2" s="1"/>
  <c r="M38" i="2"/>
  <c r="L38" i="2"/>
  <c r="M22" i="2"/>
  <c r="L22" i="2"/>
  <c r="M6" i="2"/>
  <c r="L6" i="2"/>
  <c r="L82" i="2"/>
  <c r="M82" i="2"/>
  <c r="N82" i="2" s="1"/>
  <c r="O82" i="2" s="1"/>
  <c r="L37" i="2"/>
  <c r="M37" i="2"/>
  <c r="N37" i="2" s="1"/>
  <c r="O37" i="2" s="1"/>
  <c r="L21" i="2"/>
  <c r="M21" i="2"/>
  <c r="N21" i="2" s="1"/>
  <c r="O21" i="2" s="1"/>
  <c r="L5" i="2"/>
  <c r="M5" i="2"/>
  <c r="N5" i="2" s="1"/>
  <c r="O5" i="2" s="1"/>
  <c r="M63" i="2"/>
  <c r="L63" i="2"/>
  <c r="L32" i="2"/>
  <c r="M32" i="2"/>
  <c r="N32" i="2" s="1"/>
  <c r="O32" i="2" s="1"/>
  <c r="L16" i="2"/>
  <c r="M16" i="2"/>
  <c r="N16" i="2" s="1"/>
  <c r="O16" i="2" s="1"/>
  <c r="M97" i="2"/>
  <c r="L97" i="2"/>
  <c r="M79" i="2"/>
  <c r="L79" i="2"/>
  <c r="M76" i="2"/>
  <c r="L76" i="2"/>
  <c r="M91" i="2"/>
  <c r="L91" i="2"/>
  <c r="M84" i="2"/>
  <c r="L84" i="2"/>
  <c r="L88" i="2"/>
  <c r="M88" i="2"/>
  <c r="N88" i="2" s="1"/>
  <c r="O88" i="2" s="1"/>
  <c r="M62" i="2"/>
  <c r="L62" i="2"/>
  <c r="M44" i="2"/>
  <c r="L44" i="2"/>
  <c r="L67" i="2"/>
  <c r="M67" i="2"/>
  <c r="N67" i="2" s="1"/>
  <c r="O67" i="2" s="1"/>
  <c r="L94" i="2"/>
  <c r="M94" i="2"/>
  <c r="N94" i="2" s="1"/>
  <c r="O94" i="2" s="1"/>
  <c r="L31" i="2"/>
  <c r="M31" i="2"/>
  <c r="N31" i="2" s="1"/>
  <c r="O31" i="2" s="1"/>
  <c r="L27" i="2"/>
  <c r="M27" i="2"/>
  <c r="N27" i="2" s="1"/>
  <c r="O27" i="2" s="1"/>
  <c r="L89" i="2"/>
  <c r="M89" i="2"/>
  <c r="N89" i="2" s="1"/>
  <c r="O89" i="2" s="1"/>
  <c r="L92" i="2"/>
  <c r="M92" i="2"/>
  <c r="N92" i="2" s="1"/>
  <c r="O92" i="2" s="1"/>
  <c r="L39" i="2"/>
  <c r="M39" i="2"/>
  <c r="N39" i="2" s="1"/>
  <c r="O39" i="2" s="1"/>
  <c r="L23" i="2"/>
  <c r="M23" i="2"/>
  <c r="N23" i="2" s="1"/>
  <c r="O23" i="2" s="1"/>
  <c r="L7" i="2"/>
  <c r="M7" i="2"/>
  <c r="N7" i="2" s="1"/>
  <c r="O7" i="2" s="1"/>
  <c r="M73" i="2"/>
  <c r="L73" i="2"/>
  <c r="L34" i="2"/>
  <c r="M34" i="2"/>
  <c r="N34" i="2" s="1"/>
  <c r="O34" i="2" s="1"/>
  <c r="L18" i="2"/>
  <c r="M18" i="2"/>
  <c r="N18" i="2" s="1"/>
  <c r="O18" i="2" s="1"/>
  <c r="L42" i="2"/>
  <c r="M42" i="2"/>
  <c r="N42" i="2" s="1"/>
  <c r="O42" i="2" s="1"/>
  <c r="M71" i="2"/>
  <c r="L71" i="2"/>
  <c r="M33" i="2"/>
  <c r="L33" i="2"/>
  <c r="M17" i="2"/>
  <c r="L17" i="2"/>
  <c r="L77" i="2"/>
  <c r="M77" i="2"/>
  <c r="N77" i="2" s="1"/>
  <c r="O77" i="2" s="1"/>
  <c r="M52" i="2"/>
  <c r="L52" i="2"/>
  <c r="M28" i="2"/>
  <c r="L28" i="2"/>
  <c r="M12" i="2"/>
  <c r="L12" i="2"/>
  <c r="L43" i="2"/>
  <c r="M43" i="2"/>
  <c r="N43" i="2" s="1"/>
  <c r="O43" i="2" s="1"/>
  <c r="L90" i="2"/>
  <c r="M90" i="2"/>
  <c r="N90" i="2" s="1"/>
  <c r="O90" i="2" s="1"/>
  <c r="L83" i="2"/>
  <c r="M83" i="2"/>
  <c r="N83" i="2" s="1"/>
  <c r="O83" i="2" s="1"/>
  <c r="L48" i="2"/>
  <c r="M48" i="2"/>
  <c r="N48" i="2" s="1"/>
  <c r="O48" i="2" s="1"/>
  <c r="L51" i="2"/>
  <c r="M51" i="2"/>
  <c r="N51" i="2" s="1"/>
  <c r="O51" i="2" s="1"/>
  <c r="L85" i="2"/>
  <c r="M85" i="2"/>
  <c r="N85" i="2" s="1"/>
  <c r="O85" i="2" s="1"/>
  <c r="L64" i="2"/>
  <c r="M64" i="2"/>
  <c r="N64" i="2" s="1"/>
  <c r="O64" i="2" s="1"/>
  <c r="M49" i="2"/>
  <c r="L49" i="2"/>
  <c r="L72" i="2"/>
  <c r="M72" i="2"/>
  <c r="N72" i="2" s="1"/>
  <c r="O72" i="2" s="1"/>
  <c r="P19" i="2"/>
  <c r="P56" i="2"/>
  <c r="P98" i="2"/>
  <c r="P13" i="2"/>
  <c r="P24" i="2"/>
  <c r="P55" i="2"/>
  <c r="P57" i="2"/>
  <c r="P59" i="2"/>
  <c r="P15" i="2"/>
  <c r="P26" i="2"/>
  <c r="Q26" i="2" s="1"/>
  <c r="P95" i="2"/>
  <c r="P41" i="2"/>
  <c r="P25" i="2"/>
  <c r="P9" i="2"/>
  <c r="P78" i="2"/>
  <c r="R78" i="2" s="1"/>
  <c r="P36" i="2"/>
  <c r="P20" i="2"/>
  <c r="P4" i="2"/>
  <c r="P66" i="2"/>
  <c r="Q66" i="2" s="1"/>
  <c r="P69" i="2"/>
  <c r="P68" i="2"/>
  <c r="P74" i="2"/>
  <c r="R74" i="2" s="1"/>
  <c r="P65" i="2"/>
  <c r="P54" i="2"/>
  <c r="P87" i="2"/>
  <c r="P61" i="2"/>
  <c r="P86" i="2"/>
  <c r="R86" i="2" s="1"/>
  <c r="P75" i="2"/>
  <c r="P3" i="2"/>
  <c r="P14" i="2"/>
  <c r="P29" i="2"/>
  <c r="P40" i="2"/>
  <c r="P58" i="2"/>
  <c r="P70" i="2"/>
  <c r="R70" i="2" s="1"/>
  <c r="P81" i="2"/>
  <c r="P60" i="2"/>
  <c r="P96" i="2"/>
  <c r="P10" i="2"/>
  <c r="P47" i="2"/>
  <c r="P27" i="2"/>
  <c r="P11" i="2"/>
  <c r="P89" i="2"/>
  <c r="P38" i="2"/>
  <c r="P22" i="2"/>
  <c r="P6" i="2"/>
  <c r="P82" i="2"/>
  <c r="P37" i="2"/>
  <c r="Q37" i="2" s="1"/>
  <c r="P21" i="2"/>
  <c r="P5" i="2"/>
  <c r="P63" i="2"/>
  <c r="P32" i="2"/>
  <c r="P16" i="2"/>
  <c r="P97" i="2"/>
  <c r="P79" i="2"/>
  <c r="P76" i="2"/>
  <c r="P91" i="2"/>
  <c r="P84" i="2"/>
  <c r="R84" i="2" s="1"/>
  <c r="P88" i="2"/>
  <c r="P62" i="2"/>
  <c r="P44" i="2"/>
  <c r="P67" i="2"/>
  <c r="P94" i="2"/>
  <c r="P35" i="2"/>
  <c r="Q35" i="2" s="1"/>
  <c r="P30" i="2"/>
  <c r="P53" i="2"/>
  <c r="P93" i="2"/>
  <c r="P8" i="2"/>
  <c r="P45" i="2"/>
  <c r="P50" i="2"/>
  <c r="P80" i="2"/>
  <c r="P31" i="2"/>
  <c r="P46" i="2"/>
  <c r="P92" i="2"/>
  <c r="R92" i="2" s="1"/>
  <c r="P39" i="2"/>
  <c r="P23" i="2"/>
  <c r="P7" i="2"/>
  <c r="P73" i="2"/>
  <c r="R73" i="2" s="1"/>
  <c r="P34" i="2"/>
  <c r="P18" i="2"/>
  <c r="P42" i="2"/>
  <c r="P71" i="2"/>
  <c r="P33" i="2"/>
  <c r="P17" i="2"/>
  <c r="P77" i="2"/>
  <c r="P52" i="2"/>
  <c r="P28" i="2"/>
  <c r="P12" i="2"/>
  <c r="P43" i="2"/>
  <c r="P90" i="2"/>
  <c r="R90" i="2" s="1"/>
  <c r="P83" i="2"/>
  <c r="P48" i="2"/>
  <c r="P51" i="2"/>
  <c r="P85" i="2"/>
  <c r="R85" i="2" s="1"/>
  <c r="P64" i="2"/>
  <c r="P49" i="2"/>
  <c r="P72" i="2"/>
  <c r="J2" i="2"/>
  <c r="K2" i="2" s="1"/>
  <c r="Q3" i="2"/>
  <c r="Q14" i="2"/>
  <c r="Q53" i="2"/>
  <c r="Q50" i="2"/>
  <c r="Q15" i="2"/>
  <c r="Q96" i="2"/>
  <c r="Q25" i="2"/>
  <c r="Q78" i="2"/>
  <c r="Q20" i="2"/>
  <c r="Q74" i="2"/>
  <c r="Q65" i="2"/>
  <c r="Q87" i="2"/>
  <c r="Q47" i="2"/>
  <c r="Q11" i="2"/>
  <c r="Q6" i="2"/>
  <c r="Q5" i="2"/>
  <c r="Q97" i="2"/>
  <c r="Q67" i="2"/>
  <c r="Q92" i="2"/>
  <c r="Q73" i="2"/>
  <c r="Q71" i="2"/>
  <c r="Q52" i="2"/>
  <c r="Q90" i="2"/>
  <c r="Q85" i="2"/>
  <c r="Q19" i="2"/>
  <c r="Q98" i="2"/>
  <c r="Q24" i="2"/>
  <c r="Q58" i="2"/>
  <c r="Q57" i="2"/>
  <c r="Q68" i="2"/>
  <c r="C2" i="7"/>
  <c r="D2" i="7" s="1"/>
  <c r="L16" i="6" s="1"/>
  <c r="R71" i="2" l="1"/>
  <c r="R87" i="2"/>
  <c r="R98" i="2"/>
  <c r="R14" i="2"/>
  <c r="R97" i="2"/>
  <c r="R5" i="2"/>
  <c r="R6" i="2"/>
  <c r="R11" i="2"/>
  <c r="R96" i="2"/>
  <c r="R3" i="2"/>
  <c r="R15" i="2"/>
  <c r="Q12" i="2"/>
  <c r="R12" i="2" s="1"/>
  <c r="Q86" i="2"/>
  <c r="Q95" i="2"/>
  <c r="R95" i="2" s="1"/>
  <c r="R19" i="2"/>
  <c r="R20" i="2"/>
  <c r="Q94" i="2"/>
  <c r="R94" i="2" s="1"/>
  <c r="Q72" i="2"/>
  <c r="R72" i="2"/>
  <c r="Q42" i="2"/>
  <c r="R42" i="2" s="1"/>
  <c r="Q30" i="2"/>
  <c r="R30" i="2"/>
  <c r="Q21" i="2"/>
  <c r="R21" i="2" s="1"/>
  <c r="Q27" i="2"/>
  <c r="R27" i="2" s="1"/>
  <c r="Q60" i="2"/>
  <c r="R60" i="2" s="1"/>
  <c r="Q40" i="2"/>
  <c r="R40" i="2" s="1"/>
  <c r="Q75" i="2"/>
  <c r="R75" i="2"/>
  <c r="Q54" i="2"/>
  <c r="R54" i="2" s="1"/>
  <c r="Q69" i="2"/>
  <c r="R69" i="2"/>
  <c r="Q36" i="2"/>
  <c r="R36" i="2" s="1"/>
  <c r="Q41" i="2"/>
  <c r="R41" i="2" s="1"/>
  <c r="Q59" i="2"/>
  <c r="R59" i="2" s="1"/>
  <c r="Q13" i="2"/>
  <c r="R13" i="2" s="1"/>
  <c r="Q43" i="2"/>
  <c r="R43" i="2" s="1"/>
  <c r="Q46" i="2"/>
  <c r="R46" i="2" s="1"/>
  <c r="Q44" i="2"/>
  <c r="R44" i="2" s="1"/>
  <c r="Q22" i="2"/>
  <c r="R22" i="2" s="1"/>
  <c r="Q49" i="2"/>
  <c r="R49" i="2" s="1"/>
  <c r="Q48" i="2"/>
  <c r="R48" i="2" s="1"/>
  <c r="Q17" i="2"/>
  <c r="R17" i="2" s="1"/>
  <c r="Q18" i="2"/>
  <c r="R18" i="2" s="1"/>
  <c r="Q23" i="2"/>
  <c r="R23" i="2" s="1"/>
  <c r="Q31" i="2"/>
  <c r="R31" i="2" s="1"/>
  <c r="Q8" i="2"/>
  <c r="R8" i="2" s="1"/>
  <c r="R35" i="2"/>
  <c r="Q62" i="2"/>
  <c r="R62" i="2" s="1"/>
  <c r="Q76" i="2"/>
  <c r="R76" i="2" s="1"/>
  <c r="Q32" i="2"/>
  <c r="R32" i="2" s="1"/>
  <c r="R37" i="2"/>
  <c r="Q38" i="2"/>
  <c r="R38" i="2" s="1"/>
  <c r="R47" i="2"/>
  <c r="Q81" i="2"/>
  <c r="R81" i="2"/>
  <c r="Q29" i="2"/>
  <c r="R29" i="2" s="1"/>
  <c r="R65" i="2"/>
  <c r="R66" i="2"/>
  <c r="R57" i="2"/>
  <c r="Q51" i="2"/>
  <c r="R51" i="2" s="1"/>
  <c r="Q7" i="2"/>
  <c r="R7" i="2" s="1"/>
  <c r="Q91" i="2"/>
  <c r="R91" i="2"/>
  <c r="Q83" i="2"/>
  <c r="R83" i="2"/>
  <c r="Q33" i="2"/>
  <c r="R33" i="2" s="1"/>
  <c r="Q39" i="2"/>
  <c r="R39" i="2" s="1"/>
  <c r="Q93" i="2"/>
  <c r="R93" i="2"/>
  <c r="Q88" i="2"/>
  <c r="R88" i="2"/>
  <c r="Q63" i="2"/>
  <c r="R63" i="2"/>
  <c r="Q10" i="2"/>
  <c r="R10" i="2" s="1"/>
  <c r="Q9" i="2"/>
  <c r="R9" i="2" s="1"/>
  <c r="R26" i="2"/>
  <c r="Q55" i="2"/>
  <c r="R55" i="2" s="1"/>
  <c r="Q56" i="2"/>
  <c r="R56" i="2" s="1"/>
  <c r="Q77" i="2"/>
  <c r="R77" i="2"/>
  <c r="Q45" i="2"/>
  <c r="R45" i="2" s="1"/>
  <c r="Q16" i="2"/>
  <c r="R16" i="2" s="1"/>
  <c r="Q64" i="2"/>
  <c r="R64" i="2"/>
  <c r="Q28" i="2"/>
  <c r="R28" i="2" s="1"/>
  <c r="Q34" i="2"/>
  <c r="R34" i="2" s="1"/>
  <c r="Q80" i="2"/>
  <c r="R80" i="2"/>
  <c r="Q79" i="2"/>
  <c r="R79" i="2"/>
  <c r="Q82" i="2"/>
  <c r="R82" i="2"/>
  <c r="Q89" i="2"/>
  <c r="R89" i="2"/>
  <c r="Q61" i="2"/>
  <c r="R61" i="2" s="1"/>
  <c r="Q4" i="2"/>
  <c r="R4" i="2"/>
  <c r="Q70" i="2"/>
  <c r="R52" i="2"/>
  <c r="R50" i="2"/>
  <c r="R53" i="2"/>
  <c r="R67" i="2"/>
  <c r="R58" i="2"/>
  <c r="R68" i="2"/>
  <c r="R25" i="2"/>
  <c r="R24" i="2"/>
  <c r="N28" i="2"/>
  <c r="O28" i="2" s="1"/>
  <c r="N33" i="2"/>
  <c r="O33" i="2" s="1"/>
  <c r="N62" i="2"/>
  <c r="O62" i="2" s="1"/>
  <c r="N84" i="2"/>
  <c r="O84" i="2" s="1"/>
  <c r="N76" i="2"/>
  <c r="O76" i="2" s="1"/>
  <c r="N97" i="2"/>
  <c r="O97" i="2" s="1"/>
  <c r="N6" i="2"/>
  <c r="O6" i="2" s="1"/>
  <c r="N38" i="2"/>
  <c r="O38" i="2" s="1"/>
  <c r="N86" i="2"/>
  <c r="O86" i="2" s="1"/>
  <c r="N65" i="2"/>
  <c r="O65" i="2" s="1"/>
  <c r="N68" i="2"/>
  <c r="O68" i="2" s="1"/>
  <c r="N20" i="2"/>
  <c r="O20" i="2" s="1"/>
  <c r="N78" i="2"/>
  <c r="O78" i="2" s="1"/>
  <c r="N25" i="2"/>
  <c r="O25" i="2" s="1"/>
  <c r="N95" i="2"/>
  <c r="O95" i="2" s="1"/>
  <c r="N70" i="2"/>
  <c r="O70" i="2" s="1"/>
  <c r="N55" i="2"/>
  <c r="O55" i="2" s="1"/>
  <c r="N14" i="2"/>
  <c r="O14" i="2" s="1"/>
  <c r="M2" i="2"/>
  <c r="L2" i="2"/>
  <c r="N49" i="2"/>
  <c r="O49" i="2" s="1"/>
  <c r="N12" i="2"/>
  <c r="O12" i="2" s="1"/>
  <c r="N52" i="2"/>
  <c r="O52" i="2" s="1"/>
  <c r="N17" i="2"/>
  <c r="O17" i="2" s="1"/>
  <c r="N71" i="2"/>
  <c r="O71" i="2" s="1"/>
  <c r="N73" i="2"/>
  <c r="O73" i="2" s="1"/>
  <c r="N44" i="2"/>
  <c r="O44" i="2" s="1"/>
  <c r="N91" i="2"/>
  <c r="O91" i="2" s="1"/>
  <c r="N79" i="2"/>
  <c r="O79" i="2" s="1"/>
  <c r="N63" i="2"/>
  <c r="O63" i="2" s="1"/>
  <c r="N22" i="2"/>
  <c r="O22" i="2" s="1"/>
  <c r="N54" i="2"/>
  <c r="O54" i="2" s="1"/>
  <c r="N4" i="2"/>
  <c r="O4" i="2" s="1"/>
  <c r="N36" i="2"/>
  <c r="O36" i="2" s="1"/>
  <c r="N9" i="2"/>
  <c r="O9" i="2" s="1"/>
  <c r="N41" i="2"/>
  <c r="O41" i="2" s="1"/>
  <c r="N46" i="2"/>
  <c r="O46" i="2" s="1"/>
  <c r="N60" i="2"/>
  <c r="O60" i="2" s="1"/>
  <c r="N81" i="2"/>
  <c r="O81" i="2" s="1"/>
  <c r="N57" i="2"/>
  <c r="O57" i="2" s="1"/>
  <c r="N30" i="2"/>
  <c r="O30" i="2" s="1"/>
  <c r="P2" i="2"/>
  <c r="Q84" i="2"/>
  <c r="Q2" i="2" l="1"/>
  <c r="R2" i="2" s="1"/>
  <c r="N2" i="2"/>
  <c r="O2" i="2" s="1"/>
  <c r="A3" i="7"/>
  <c r="B3" i="7" s="1"/>
  <c r="C3" i="7" s="1"/>
  <c r="D3" i="7" s="1"/>
  <c r="L18" i="6" s="1"/>
  <c r="M27" i="6" l="1"/>
  <c r="M28" i="6"/>
</calcChain>
</file>

<file path=xl/sharedStrings.xml><?xml version="1.0" encoding="utf-8"?>
<sst xmlns="http://schemas.openxmlformats.org/spreadsheetml/2006/main" count="210" uniqueCount="165">
  <si>
    <t>Latitude</t>
  </si>
  <si>
    <t>Longitude</t>
  </si>
  <si>
    <t>Band</t>
  </si>
  <si>
    <t>Date</t>
  </si>
  <si>
    <t>Count time</t>
  </si>
  <si>
    <t>Gain</t>
  </si>
  <si>
    <t>Count 1</t>
  </si>
  <si>
    <t>Count 2</t>
  </si>
  <si>
    <t>Count 3</t>
  </si>
  <si>
    <t>Average count</t>
  </si>
  <si>
    <t>Star count</t>
  </si>
  <si>
    <r>
      <t>D</t>
    </r>
    <r>
      <rPr>
        <b/>
        <sz val="10"/>
        <rFont val="Arial"/>
        <family val="2"/>
      </rPr>
      <t>v</t>
    </r>
  </si>
  <si>
    <t>(in hours)</t>
  </si>
  <si>
    <t>airmass</t>
  </si>
  <si>
    <t>R.A. (2000.0)</t>
  </si>
  <si>
    <t>Decl (2000.0)</t>
  </si>
  <si>
    <t>V</t>
  </si>
  <si>
    <t>Julian date</t>
  </si>
  <si>
    <t>LST</t>
  </si>
  <si>
    <t>Altitude</t>
  </si>
  <si>
    <t>sec</t>
  </si>
  <si>
    <t>B</t>
  </si>
  <si>
    <t>Star</t>
  </si>
  <si>
    <t>phi Gem</t>
  </si>
  <si>
    <t>gam Cnc</t>
  </si>
  <si>
    <t>ome UMa</t>
  </si>
  <si>
    <t>21 LMi</t>
  </si>
  <si>
    <t>15 Dra</t>
  </si>
  <si>
    <t>Star deflection</t>
  </si>
  <si>
    <t>Sky deflection</t>
  </si>
  <si>
    <t>R.A.</t>
  </si>
  <si>
    <t>Declination</t>
  </si>
  <si>
    <t>∆b</t>
  </si>
  <si>
    <t>rho Hya</t>
  </si>
  <si>
    <t>sig Leo</t>
  </si>
  <si>
    <t>pi Vir</t>
  </si>
  <si>
    <t>rho Vir</t>
  </si>
  <si>
    <t>B-V</t>
  </si>
  <si>
    <t>U-B</t>
  </si>
  <si>
    <t>111 Her</t>
  </si>
  <si>
    <t>zet Del</t>
  </si>
  <si>
    <t>omi Peg</t>
  </si>
  <si>
    <t>rho Peg</t>
  </si>
  <si>
    <t>pi Per</t>
  </si>
  <si>
    <t>zet Sge</t>
  </si>
  <si>
    <t>3 Peg</t>
  </si>
  <si>
    <t>gam Tri</t>
  </si>
  <si>
    <t>11 Peg</t>
  </si>
  <si>
    <t>60 Her</t>
  </si>
  <si>
    <t>the And</t>
  </si>
  <si>
    <t>Source: Astronomical Photometry, Arne A. Henden &amp; Ronald H. Kaitchuck, Appendix A: First-Order Extinctions Stars, page 279-283</t>
  </si>
  <si>
    <t>sig And</t>
  </si>
  <si>
    <t>the Cas</t>
  </si>
  <si>
    <t>89 Psc</t>
  </si>
  <si>
    <t>ups Psc</t>
  </si>
  <si>
    <t>50 Cas</t>
  </si>
  <si>
    <t>58 And</t>
  </si>
  <si>
    <t>xi2 Cet</t>
  </si>
  <si>
    <t>HD 19275</t>
  </si>
  <si>
    <t>zet Ari</t>
  </si>
  <si>
    <t>32 Per</t>
  </si>
  <si>
    <t>gam Cam</t>
  </si>
  <si>
    <t>lam Per</t>
  </si>
  <si>
    <t>B Per</t>
  </si>
  <si>
    <t>kap Tau</t>
  </si>
  <si>
    <t>68 Tau</t>
  </si>
  <si>
    <t>HD 28978</t>
  </si>
  <si>
    <t>pi2 Ori</t>
  </si>
  <si>
    <t>pi1 Ori</t>
  </si>
  <si>
    <t>HD 34317</t>
  </si>
  <si>
    <t>HD 35656</t>
  </si>
  <si>
    <t>38 Ori</t>
  </si>
  <si>
    <t>136 Tau</t>
  </si>
  <si>
    <t>60 Ori</t>
  </si>
  <si>
    <t>HD 42111</t>
  </si>
  <si>
    <t>HD 42818</t>
  </si>
  <si>
    <t>2 Lyn</t>
  </si>
  <si>
    <t>14 Mon</t>
  </si>
  <si>
    <t>HD 50062</t>
  </si>
  <si>
    <t>HD 50931</t>
  </si>
  <si>
    <t>16 Lyn</t>
  </si>
  <si>
    <t>HD 52479</t>
  </si>
  <si>
    <t>HD 53205</t>
  </si>
  <si>
    <t>HD 55111</t>
  </si>
  <si>
    <t>HD 56169</t>
  </si>
  <si>
    <t>21 Lyn</t>
  </si>
  <si>
    <t>24 Lyn</t>
  </si>
  <si>
    <t>HD 65900</t>
  </si>
  <si>
    <t>27 Lyn</t>
  </si>
  <si>
    <t>del Hya</t>
  </si>
  <si>
    <t>37 Cnc</t>
  </si>
  <si>
    <t>HD 76757</t>
  </si>
  <si>
    <t>HD 79108</t>
  </si>
  <si>
    <t>26 UMa</t>
  </si>
  <si>
    <t>7 Sex</t>
  </si>
  <si>
    <t>60 Leo</t>
  </si>
  <si>
    <t>69 Leo</t>
  </si>
  <si>
    <t>55 UMa</t>
  </si>
  <si>
    <t>4 Vir</t>
  </si>
  <si>
    <t>7 Vir</t>
  </si>
  <si>
    <t>23 Com</t>
  </si>
  <si>
    <t>HD 109860</t>
  </si>
  <si>
    <t>HD 115709</t>
  </si>
  <si>
    <t>HD 116160</t>
  </si>
  <si>
    <t>80 UMa</t>
  </si>
  <si>
    <t>24 CVn</t>
  </si>
  <si>
    <t>tau Vir</t>
  </si>
  <si>
    <t>HD 140775</t>
  </si>
  <si>
    <t>pi Ser</t>
  </si>
  <si>
    <t>sig Her</t>
  </si>
  <si>
    <t>69 Her</t>
  </si>
  <si>
    <t>del Umi</t>
  </si>
  <si>
    <t>39 Dra</t>
  </si>
  <si>
    <t>HD 174240</t>
  </si>
  <si>
    <t>HD 180782</t>
  </si>
  <si>
    <t>pi Dra</t>
  </si>
  <si>
    <t>13 Vul</t>
  </si>
  <si>
    <t>rho Aql</t>
  </si>
  <si>
    <t>30 Cyg</t>
  </si>
  <si>
    <t>29 Cyg</t>
  </si>
  <si>
    <t>33 Cyg</t>
  </si>
  <si>
    <t>HD 195922</t>
  </si>
  <si>
    <t>29 Vul</t>
  </si>
  <si>
    <t>6 Equ</t>
  </si>
  <si>
    <t>HD 211287</t>
  </si>
  <si>
    <t>HD 217186</t>
  </si>
  <si>
    <t>25 Psc</t>
  </si>
  <si>
    <t>Date of first order extinction determination</t>
  </si>
  <si>
    <t>Time of first order extinction determination</t>
  </si>
  <si>
    <t>This spreadsheet helps you to calculate first order extinctions in the B- and V-band</t>
  </si>
  <si>
    <t>The spreadsheet calculates the airmasses of all the suitable stars and the color codes the airmasses, green for airmasses between 1.00 and 2.00, yellow for airmasses between 2.00 and 2.50 and red for airmasses below 2.50</t>
  </si>
  <si>
    <t>Data Entry-V sheet</t>
  </si>
  <si>
    <t>Stars sheet</t>
  </si>
  <si>
    <r>
      <t xml:space="preserve">Take care: you can't enter data in the </t>
    </r>
    <r>
      <rPr>
        <sz val="12"/>
        <color rgb="FFCCCCFF"/>
        <rFont val="Arial"/>
        <family val="2"/>
      </rPr>
      <t>light purple</t>
    </r>
    <r>
      <rPr>
        <sz val="12"/>
        <rFont val="Arial"/>
        <family val="2"/>
      </rPr>
      <t xml:space="preserve"> parts!</t>
    </r>
  </si>
  <si>
    <t>v-V</t>
  </si>
  <si>
    <t>b-B</t>
  </si>
  <si>
    <t>68 Oph</t>
  </si>
  <si>
    <t>°</t>
  </si>
  <si>
    <t>’</t>
  </si>
  <si>
    <t>"</t>
  </si>
  <si>
    <t>N/S or E/W</t>
  </si>
  <si>
    <t>Azimuth</t>
  </si>
  <si>
    <t>LHA (°)</t>
  </si>
  <si>
    <t>LHA (h)</t>
  </si>
  <si>
    <t>LHA (0-360°)</t>
  </si>
  <si>
    <t>https://aa.usno.navy.mil/faq/alt_az</t>
  </si>
  <si>
    <t>https://aa.usno.navy.mil/faq/GAST</t>
  </si>
  <si>
    <t>azimuth</t>
  </si>
  <si>
    <t>numerator</t>
  </si>
  <si>
    <t>denominator</t>
  </si>
  <si>
    <t>In cell B8 you fill in the degrees of latitude, in cell C8 you fill in the arcminutes of latitude, in cell D8 you fill in the arcseconds of latitude and in cell E8 you fill in "N" if you observe north of the equator and "S" if you observe south of the equator</t>
  </si>
  <si>
    <t>In cell B9 you fill in the degrees of longitude, in cell C9 you fill in the arcminutes of longitude, in cell D9 you fill in the arcseconds of longitude and in cell E9 you fill in "E" if you observe east of the prime meridian and "W" if you observe west of the prime meridian</t>
  </si>
  <si>
    <t>UT Date</t>
  </si>
  <si>
    <t>UT</t>
  </si>
  <si>
    <t>In cell B12 you fill in the UT Date. If the UT Date changes in the course of the observations, you can change the date in one of the cells E16-E25. The cells below the change will change accordingly</t>
  </si>
  <si>
    <t>In cell U2 you fill in the date, in cell U3 you fill in the expected time of your measurements</t>
  </si>
  <si>
    <t>Then you have to select 5 suitable stars over a range of airmasses between 1.00 and 2.00, preferably one with an airmass close to 2.00, one with an airmass close to 1.75, one with an airmass close to 1.50, one with an airmass close to 1.25 and the last one with an airmass close to 1.00</t>
  </si>
  <si>
    <t>Calculating the first order extinction in the V-band (kapV / k'V) and in the B-band (kapB / k'B)</t>
  </si>
  <si>
    <t>Fill in the selected stars in the order of observation in the "Data Entry-V" sheet, these stars will automatically be copied to the "Data Entry-B" sheet</t>
  </si>
  <si>
    <t>Erwin van Ballegoij, April 11, 2023</t>
  </si>
  <si>
    <t>Fill in the times and the counts in cell E16 until H25. When you are done, the slope of the line in the diagram tells you the kapV (on the Data Entry-V sheet) and kapB (on the Data Entry-B-sheet). The correlation coefficient tells you how well the data points fit the line. The closer to 1, the better it is</t>
  </si>
  <si>
    <t>kapV=</t>
  </si>
  <si>
    <t>R^2=</t>
  </si>
  <si>
    <t>kapB=</t>
  </si>
  <si>
    <t>If one of the data points deviates a lot from the straight line, you can unlock the worksheet and remove that data point (for instance bij deleting the airmass of that point) and see if the result improves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</si>
</sst>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0"/>
    <numFmt numFmtId="166" formatCode="0.000"/>
    <numFmt numFmtId="167" formatCode="#.0000"/>
    <numFmt numFmtId="168" formatCode="0.0000"/>
    <numFmt numFmtId="169" formatCode="0.00000"/>
    <numFmt numFmtId="170" formatCode="h:mm;@"/>
  </numFmts>
  <fonts count="26" x14ac:knownFonts="1">
    <font>
      <sz val="10"/>
      <name val="Arial"/>
      <family val="2"/>
    </font>
    <font>
      <b/>
      <sz val="10"/>
      <name val="Arial"/>
      <family val="2"/>
    </font>
    <font>
      <sz val="10"/>
      <color indexed="31"/>
      <name val="Arial"/>
      <family val="2"/>
    </font>
    <font>
      <sz val="10"/>
      <color indexed="8"/>
      <name val="Arial"/>
      <family val="2"/>
    </font>
    <font>
      <b/>
      <sz val="10"/>
      <color indexed="8"/>
      <name val="Arial"/>
      <family val="2"/>
    </font>
    <font>
      <b/>
      <sz val="10"/>
      <name val="Symbol"/>
      <charset val="2"/>
    </font>
    <font>
      <sz val="10"/>
      <name val="Symbol"/>
      <charset val="2"/>
    </font>
    <font>
      <sz val="11"/>
      <name val="Arial"/>
      <family val="2"/>
    </font>
    <font>
      <sz val="12"/>
      <name val="Arial"/>
      <family val="2"/>
    </font>
    <font>
      <sz val="12"/>
      <color indexed="8"/>
      <name val="Arial"/>
      <family val="2"/>
    </font>
    <font>
      <sz val="8"/>
      <name val="Arial"/>
      <family val="2"/>
    </font>
    <font>
      <b/>
      <sz val="11"/>
      <name val="Arial"/>
      <family val="2"/>
    </font>
    <font>
      <u/>
      <sz val="10"/>
      <color theme="10"/>
      <name val="Arial"/>
      <family val="2"/>
    </font>
    <font>
      <u/>
      <sz val="10"/>
      <color theme="11"/>
      <name val="Arial"/>
      <family val="2"/>
    </font>
    <font>
      <sz val="10"/>
      <color theme="1"/>
      <name val="Arial"/>
      <family val="2"/>
    </font>
    <font>
      <sz val="12"/>
      <name val="Arial"/>
      <family val="2"/>
    </font>
    <font>
      <b/>
      <sz val="12"/>
      <name val="Arial"/>
      <family val="2"/>
    </font>
    <font>
      <sz val="11"/>
      <name val="Arial"/>
      <family val="2"/>
    </font>
    <font>
      <i/>
      <sz val="12"/>
      <name val="Arial"/>
      <family val="2"/>
    </font>
    <font>
      <sz val="12"/>
      <color rgb="FFCCCCFF"/>
      <name val="Arial"/>
      <family val="2"/>
    </font>
    <font>
      <sz val="12"/>
      <color theme="0"/>
      <name val="Arial"/>
      <family val="2"/>
    </font>
    <font>
      <i/>
      <sz val="12"/>
      <color theme="0"/>
      <name val="Arial"/>
      <family val="2"/>
    </font>
    <font>
      <b/>
      <sz val="12"/>
      <color theme="1"/>
      <name val="Arial"/>
      <family val="2"/>
    </font>
    <font>
      <sz val="12"/>
      <color theme="1"/>
      <name val="Arial"/>
      <family val="2"/>
    </font>
    <font>
      <sz val="14"/>
      <name val="Arial"/>
      <family val="2"/>
    </font>
    <font>
      <sz val="10"/>
      <color rgb="FFCCCCFF"/>
      <name val="Arial"/>
      <family val="2"/>
    </font>
  </fonts>
  <fills count="29">
    <fill>
      <patternFill patternType="none"/>
    </fill>
    <fill>
      <patternFill patternType="gray125"/>
    </fill>
    <fill>
      <patternFill patternType="solid">
        <fgColor indexed="31"/>
        <bgColor indexed="22"/>
      </patternFill>
    </fill>
    <fill>
      <patternFill patternType="solid">
        <fgColor indexed="43"/>
        <bgColor indexed="26"/>
      </patternFill>
    </fill>
    <fill>
      <patternFill patternType="solid">
        <fgColor rgb="FFCCCCFF"/>
        <bgColor indexed="26"/>
      </patternFill>
    </fill>
    <fill>
      <patternFill patternType="solid">
        <fgColor rgb="FFCCCCFF"/>
        <bgColor indexed="22"/>
      </patternFill>
    </fill>
    <fill>
      <patternFill patternType="solid">
        <fgColor rgb="FFCCCCFF"/>
        <bgColor indexed="64"/>
      </patternFill>
    </fill>
    <fill>
      <patternFill patternType="solid">
        <fgColor theme="5" tint="0.59999389629810485"/>
        <bgColor rgb="FFFFFFCC"/>
      </patternFill>
    </fill>
    <fill>
      <patternFill patternType="solid">
        <fgColor theme="6" tint="0.59999389629810485"/>
        <bgColor rgb="FFFFFFCC"/>
      </patternFill>
    </fill>
    <fill>
      <patternFill patternType="solid">
        <fgColor theme="8" tint="0.59999389629810485"/>
        <bgColor rgb="FFFFFFCC"/>
      </patternFill>
    </fill>
    <fill>
      <patternFill patternType="solid">
        <fgColor theme="5" tint="0.59999389629810485"/>
        <bgColor indexed="26"/>
      </patternFill>
    </fill>
    <fill>
      <patternFill patternType="solid">
        <fgColor theme="6" tint="0.59999389629810485"/>
        <bgColor indexed="26"/>
      </patternFill>
    </fill>
    <fill>
      <patternFill patternType="solid">
        <fgColor theme="8" tint="0.59999389629810485"/>
        <bgColor indexed="26"/>
      </patternFill>
    </fill>
    <fill>
      <patternFill patternType="solid">
        <fgColor theme="2" tint="-0.249977111117893"/>
        <bgColor indexed="26"/>
      </patternFill>
    </fill>
    <fill>
      <patternFill patternType="solid">
        <fgColor theme="2" tint="-0.249977111117893"/>
        <bgColor rgb="FFFFFFCC"/>
      </patternFill>
    </fill>
    <fill>
      <patternFill patternType="solid">
        <fgColor rgb="FFCCCCFF"/>
        <bgColor rgb="FFC0C0C0"/>
      </patternFill>
    </fill>
    <fill>
      <patternFill patternType="solid">
        <fgColor theme="5" tint="0.59999389629810485"/>
        <bgColor rgb="FFC0C0C0"/>
      </patternFill>
    </fill>
    <fill>
      <patternFill patternType="solid">
        <fgColor theme="2" tint="-0.249977111117893"/>
        <bgColor rgb="FFC0C0C0"/>
      </patternFill>
    </fill>
    <fill>
      <patternFill patternType="solid">
        <fgColor theme="6" tint="0.59999389629810485"/>
        <bgColor rgb="FFC0C0C0"/>
      </patternFill>
    </fill>
    <fill>
      <patternFill patternType="solid">
        <fgColor theme="9" tint="0.59999389629810485"/>
        <bgColor rgb="FFFFFFCC"/>
      </patternFill>
    </fill>
    <fill>
      <patternFill patternType="solid">
        <fgColor theme="9" tint="0.59999389629810485"/>
        <bgColor rgb="FFC0C0C0"/>
      </patternFill>
    </fill>
    <fill>
      <patternFill patternType="solid">
        <fgColor theme="8" tint="0.59999389629810485"/>
        <bgColor rgb="FFC0C0C0"/>
      </patternFill>
    </fill>
    <fill>
      <patternFill patternType="solid">
        <fgColor theme="5" tint="0.59999389629810485"/>
        <bgColor indexed="22"/>
      </patternFill>
    </fill>
    <fill>
      <patternFill patternType="solid">
        <fgColor theme="2" tint="-0.249977111117893"/>
        <bgColor indexed="22"/>
      </patternFill>
    </fill>
    <fill>
      <patternFill patternType="solid">
        <fgColor theme="6" tint="0.59999389629810485"/>
        <bgColor indexed="22"/>
      </patternFill>
    </fill>
    <fill>
      <patternFill patternType="solid">
        <fgColor theme="9" tint="0.59999389629810485"/>
        <bgColor indexed="26"/>
      </patternFill>
    </fill>
    <fill>
      <patternFill patternType="solid">
        <fgColor theme="9" tint="0.59999389629810485"/>
        <bgColor indexed="22"/>
      </patternFill>
    </fill>
    <fill>
      <patternFill patternType="solid">
        <fgColor theme="8" tint="0.59999389629810485"/>
        <bgColor indexed="22"/>
      </patternFill>
    </fill>
    <fill>
      <patternFill patternType="solid">
        <fgColor rgb="FFFFFF99"/>
        <bgColor indexed="64"/>
      </patternFill>
    </fill>
  </fills>
  <borders count="44">
    <border>
      <left/>
      <right/>
      <top/>
      <bottom/>
      <diagonal/>
    </border>
    <border>
      <left style="hair">
        <color indexed="8"/>
      </left>
      <right style="hair">
        <color indexed="8"/>
      </right>
      <top style="hair">
        <color indexed="8"/>
      </top>
      <bottom/>
      <diagonal/>
    </border>
    <border>
      <left style="hair">
        <color indexed="8"/>
      </left>
      <right style="hair">
        <color indexed="8"/>
      </right>
      <top/>
      <bottom/>
      <diagonal/>
    </border>
    <border>
      <left style="hair">
        <color indexed="8"/>
      </left>
      <right/>
      <top/>
      <bottom/>
      <diagonal/>
    </border>
    <border>
      <left style="hair">
        <color auto="1"/>
      </left>
      <right style="hair">
        <color auto="1"/>
      </right>
      <top/>
      <bottom/>
      <diagonal/>
    </border>
    <border>
      <left style="hair">
        <color auto="1"/>
      </left>
      <right style="hair">
        <color auto="1"/>
      </right>
      <top style="hair">
        <color auto="1"/>
      </top>
      <bottom style="dotted">
        <color auto="1"/>
      </bottom>
      <diagonal/>
    </border>
    <border>
      <left style="hair">
        <color indexed="8"/>
      </left>
      <right style="hair">
        <color indexed="8"/>
      </right>
      <top style="hair">
        <color indexed="8"/>
      </top>
      <bottom style="hair">
        <color indexed="8"/>
      </bottom>
      <diagonal/>
    </border>
    <border>
      <left style="hair">
        <color rgb="FF000000"/>
      </left>
      <right style="hair">
        <color rgb="FF000000"/>
      </right>
      <top style="hair">
        <color rgb="FF000000"/>
      </top>
      <bottom/>
      <diagonal/>
    </border>
    <border>
      <left/>
      <right style="hair">
        <color rgb="FF000000"/>
      </right>
      <top style="hair">
        <color rgb="FF000000"/>
      </top>
      <bottom/>
      <diagonal/>
    </border>
    <border>
      <left/>
      <right style="hair">
        <color rgb="FF000000"/>
      </right>
      <top/>
      <bottom/>
      <diagonal/>
    </border>
    <border>
      <left style="hair">
        <color auto="1"/>
      </left>
      <right/>
      <top style="hair">
        <color auto="1"/>
      </top>
      <bottom style="dotted">
        <color auto="1"/>
      </bottom>
      <diagonal/>
    </border>
    <border>
      <left/>
      <right/>
      <top style="hair">
        <color indexed="8"/>
      </top>
      <bottom style="hair">
        <color indexed="8"/>
      </bottom>
      <diagonal/>
    </border>
    <border>
      <left style="hair">
        <color auto="1"/>
      </left>
      <right style="hair">
        <color auto="1"/>
      </right>
      <top style="hair">
        <color auto="1"/>
      </top>
      <bottom style="hair">
        <color auto="1"/>
      </bottom>
      <diagonal/>
    </border>
    <border>
      <left style="hair">
        <color theme="1"/>
      </left>
      <right/>
      <top style="hair">
        <color theme="1"/>
      </top>
      <bottom/>
      <diagonal/>
    </border>
    <border>
      <left style="hair">
        <color theme="1"/>
      </left>
      <right/>
      <top/>
      <bottom style="hair">
        <color theme="1"/>
      </bottom>
      <diagonal/>
    </border>
    <border>
      <left/>
      <right/>
      <top/>
      <bottom style="hair">
        <color theme="1"/>
      </bottom>
      <diagonal/>
    </border>
    <border>
      <left style="hair">
        <color theme="1"/>
      </left>
      <right/>
      <top/>
      <bottom/>
      <diagonal/>
    </border>
    <border>
      <left/>
      <right style="hair">
        <color rgb="FF000000"/>
      </right>
      <top/>
      <bottom style="hair">
        <color theme="1"/>
      </bottom>
      <diagonal/>
    </border>
    <border>
      <left style="hair">
        <color theme="1"/>
      </left>
      <right style="hair">
        <color rgb="FF000000"/>
      </right>
      <top style="hair">
        <color theme="1"/>
      </top>
      <bottom/>
      <diagonal/>
    </border>
    <border>
      <left style="hair">
        <color theme="1"/>
      </left>
      <right style="hair">
        <color rgb="FF000000"/>
      </right>
      <top/>
      <bottom style="hair">
        <color theme="1"/>
      </bottom>
      <diagonal/>
    </border>
    <border>
      <left style="hair">
        <color rgb="FF000000"/>
      </left>
      <right style="hair">
        <color rgb="FF000000"/>
      </right>
      <top/>
      <bottom style="hair">
        <color rgb="FF000000"/>
      </bottom>
      <diagonal/>
    </border>
    <border>
      <left/>
      <right style="hair">
        <color rgb="FF000000"/>
      </right>
      <top/>
      <bottom style="hair">
        <color rgb="FF000000"/>
      </bottom>
      <diagonal/>
    </border>
    <border>
      <left/>
      <right/>
      <top/>
      <bottom style="hair">
        <color rgb="FF000000"/>
      </bottom>
      <diagonal/>
    </border>
    <border>
      <left style="hair">
        <color rgb="FF000000"/>
      </left>
      <right style="hair">
        <color indexed="8"/>
      </right>
      <top/>
      <bottom/>
      <diagonal/>
    </border>
    <border>
      <left style="hair">
        <color indexed="8"/>
      </left>
      <right style="hair">
        <color indexed="8"/>
      </right>
      <top/>
      <bottom style="hair">
        <color rgb="FF000000"/>
      </bottom>
      <diagonal/>
    </border>
    <border>
      <left style="hair">
        <color auto="1"/>
      </left>
      <right style="hair">
        <color auto="1"/>
      </right>
      <top/>
      <bottom style="hair">
        <color rgb="FF000000"/>
      </bottom>
      <diagonal/>
    </border>
    <border>
      <left style="hair">
        <color indexed="8"/>
      </left>
      <right style="hair">
        <color rgb="FF000000"/>
      </right>
      <top/>
      <bottom style="hair">
        <color rgb="FF000000"/>
      </bottom>
      <diagonal/>
    </border>
    <border>
      <left style="hair">
        <color theme="1"/>
      </left>
      <right style="hair">
        <color theme="1"/>
      </right>
      <top style="hair">
        <color theme="1"/>
      </top>
      <bottom/>
      <diagonal/>
    </border>
    <border>
      <left style="hair">
        <color theme="1"/>
      </left>
      <right style="hair">
        <color theme="1"/>
      </right>
      <top/>
      <bottom style="hair">
        <color theme="1"/>
      </bottom>
      <diagonal/>
    </border>
    <border>
      <left style="hair">
        <color theme="1"/>
      </left>
      <right style="hair">
        <color theme="1"/>
      </right>
      <top/>
      <bottom/>
      <diagonal/>
    </border>
    <border>
      <left/>
      <right style="hair">
        <color indexed="8"/>
      </right>
      <top style="hair">
        <color indexed="8"/>
      </top>
      <bottom/>
      <diagonal/>
    </border>
    <border>
      <left style="hair">
        <color indexed="8"/>
      </left>
      <right style="hair">
        <color indexed="8"/>
      </right>
      <top/>
      <bottom style="hair">
        <color indexed="8"/>
      </bottom>
      <diagonal/>
    </border>
    <border>
      <left style="hair">
        <color indexed="8"/>
      </left>
      <right style="hair">
        <color rgb="FF000000"/>
      </right>
      <top/>
      <bottom style="hair">
        <color indexed="8"/>
      </bottom>
      <diagonal/>
    </border>
    <border>
      <left/>
      <right style="hair">
        <color rgb="FF000000"/>
      </right>
      <top/>
      <bottom style="hair">
        <color indexed="8"/>
      </bottom>
      <diagonal/>
    </border>
    <border>
      <left style="hair">
        <color auto="1"/>
      </left>
      <right style="hair">
        <color auto="1"/>
      </right>
      <top/>
      <bottom style="hair">
        <color indexed="8"/>
      </bottom>
      <diagonal/>
    </border>
    <border>
      <left/>
      <right/>
      <top/>
      <bottom style="hair">
        <color indexed="8"/>
      </bottom>
      <diagonal/>
    </border>
    <border>
      <left/>
      <right style="hair">
        <color indexed="8"/>
      </right>
      <top/>
      <bottom style="hair">
        <color indexed="8"/>
      </bottom>
      <diagonal/>
    </border>
    <border>
      <left/>
      <right style="hair">
        <color indexed="8"/>
      </right>
      <top style="hair">
        <color rgb="FF000000"/>
      </top>
      <bottom style="hair">
        <color rgb="FF000000"/>
      </bottom>
      <diagonal/>
    </border>
    <border>
      <left style="thin">
        <color theme="1"/>
      </left>
      <right style="thin">
        <color theme="1"/>
      </right>
      <top style="thin">
        <color theme="1"/>
      </top>
      <bottom style="thin">
        <color theme="1"/>
      </bottom>
      <diagonal/>
    </border>
    <border>
      <left/>
      <right style="thin">
        <color indexed="64"/>
      </right>
      <top/>
      <bottom/>
      <diagonal/>
    </border>
    <border>
      <left style="thin">
        <color indexed="64"/>
      </left>
      <right style="thin">
        <color indexed="64"/>
      </right>
      <top/>
      <bottom/>
      <diagonal/>
    </border>
    <border>
      <left style="hair">
        <color theme="1"/>
      </left>
      <right style="hair">
        <color rgb="FF000000"/>
      </right>
      <top style="hair">
        <color rgb="FF000000"/>
      </top>
      <bottom/>
      <diagonal/>
    </border>
    <border>
      <left style="hair">
        <color theme="1"/>
      </left>
      <right style="hair">
        <color rgb="FF000000"/>
      </right>
      <top/>
      <bottom style="hair">
        <color rgb="FF000000"/>
      </bottom>
      <diagonal/>
    </border>
    <border>
      <left style="hair">
        <color indexed="8"/>
      </left>
      <right style="hair">
        <color rgb="FF000000"/>
      </right>
      <top style="hair">
        <color indexed="8"/>
      </top>
      <bottom/>
      <diagonal/>
    </border>
  </borders>
  <cellStyleXfs count="76">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cellStyleXfs>
  <cellXfs count="232">
    <xf numFmtId="0" fontId="0" fillId="0" borderId="0" xfId="0"/>
    <xf numFmtId="0" fontId="1" fillId="0" borderId="0" xfId="0" applyFont="1"/>
    <xf numFmtId="164" fontId="0" fillId="0" borderId="0" xfId="0" applyNumberFormat="1"/>
    <xf numFmtId="165" fontId="0" fillId="0" borderId="0" xfId="0" applyNumberFormat="1"/>
    <xf numFmtId="0" fontId="1" fillId="2" borderId="0" xfId="0" applyFont="1" applyFill="1"/>
    <xf numFmtId="0" fontId="0" fillId="2" borderId="0" xfId="0" applyFill="1"/>
    <xf numFmtId="164" fontId="0" fillId="2" borderId="0" xfId="0" applyNumberFormat="1" applyFill="1"/>
    <xf numFmtId="165" fontId="0" fillId="2" borderId="0" xfId="0" applyNumberFormat="1" applyFill="1"/>
    <xf numFmtId="166" fontId="0" fillId="2" borderId="0" xfId="0" applyNumberFormat="1" applyFill="1"/>
    <xf numFmtId="0" fontId="2" fillId="2" borderId="0" xfId="0" applyFont="1" applyFill="1"/>
    <xf numFmtId="164" fontId="2" fillId="2" borderId="0" xfId="0" applyNumberFormat="1" applyFont="1" applyFill="1"/>
    <xf numFmtId="165" fontId="2" fillId="2" borderId="0" xfId="0" applyNumberFormat="1" applyFont="1" applyFill="1"/>
    <xf numFmtId="0" fontId="4" fillId="2" borderId="0" xfId="0" applyFont="1" applyFill="1"/>
    <xf numFmtId="164" fontId="0" fillId="2" borderId="1" xfId="0" applyNumberFormat="1" applyFill="1" applyBorder="1"/>
    <xf numFmtId="164" fontId="0" fillId="2" borderId="2" xfId="0" applyNumberFormat="1" applyFill="1" applyBorder="1"/>
    <xf numFmtId="2" fontId="0" fillId="2" borderId="1" xfId="0" applyNumberFormat="1" applyFill="1" applyBorder="1"/>
    <xf numFmtId="0" fontId="3" fillId="4" borderId="0" xfId="0" applyFont="1" applyFill="1"/>
    <xf numFmtId="165" fontId="0" fillId="2" borderId="3" xfId="0" applyNumberFormat="1" applyFill="1" applyBorder="1"/>
    <xf numFmtId="166" fontId="0" fillId="6" borderId="4" xfId="0" applyNumberFormat="1" applyFill="1" applyBorder="1"/>
    <xf numFmtId="0" fontId="1" fillId="6" borderId="5" xfId="0" applyFont="1" applyFill="1" applyBorder="1" applyAlignment="1">
      <alignment horizontal="center"/>
    </xf>
    <xf numFmtId="0" fontId="6" fillId="0" borderId="0" xfId="0" applyFont="1"/>
    <xf numFmtId="164" fontId="0" fillId="6" borderId="0" xfId="0" applyNumberFormat="1" applyFill="1"/>
    <xf numFmtId="0" fontId="8" fillId="0" borderId="0" xfId="0" applyFont="1"/>
    <xf numFmtId="0" fontId="10" fillId="0" borderId="0" xfId="0" applyFont="1"/>
    <xf numFmtId="0" fontId="6" fillId="6" borderId="0" xfId="0" applyFont="1" applyFill="1"/>
    <xf numFmtId="0" fontId="1" fillId="2" borderId="6" xfId="0" applyFont="1" applyFill="1" applyBorder="1" applyAlignment="1">
      <alignment horizontal="center" wrapText="1"/>
    </xf>
    <xf numFmtId="164" fontId="1" fillId="2" borderId="6" xfId="0" applyNumberFormat="1" applyFont="1" applyFill="1" applyBorder="1" applyAlignment="1">
      <alignment horizontal="center" wrapText="1"/>
    </xf>
    <xf numFmtId="0" fontId="8" fillId="0" borderId="0" xfId="0" applyFont="1" applyAlignment="1">
      <alignment wrapText="1"/>
    </xf>
    <xf numFmtId="168" fontId="0" fillId="0" borderId="0" xfId="0" applyNumberFormat="1"/>
    <xf numFmtId="165" fontId="11" fillId="0" borderId="0" xfId="0" applyNumberFormat="1" applyFont="1" applyAlignment="1">
      <alignment horizontal="center"/>
    </xf>
    <xf numFmtId="0" fontId="0" fillId="6" borderId="0" xfId="0" applyFill="1"/>
    <xf numFmtId="0" fontId="14" fillId="2" borderId="0" xfId="0" applyFont="1" applyFill="1"/>
    <xf numFmtId="14" fontId="14" fillId="2" borderId="0" xfId="0" applyNumberFormat="1" applyFont="1" applyFill="1"/>
    <xf numFmtId="1" fontId="14" fillId="2" borderId="0" xfId="0" applyNumberFormat="1" applyFont="1" applyFill="1"/>
    <xf numFmtId="166" fontId="0" fillId="6" borderId="0" xfId="0" applyNumberFormat="1" applyFill="1"/>
    <xf numFmtId="0" fontId="1" fillId="6" borderId="12" xfId="0" applyFont="1" applyFill="1" applyBorder="1" applyAlignment="1">
      <alignment horizontal="center"/>
    </xf>
    <xf numFmtId="166" fontId="1" fillId="2" borderId="11" xfId="0" applyNumberFormat="1" applyFont="1" applyFill="1" applyBorder="1" applyAlignment="1">
      <alignment horizontal="center"/>
    </xf>
    <xf numFmtId="168" fontId="15" fillId="0" borderId="0" xfId="0" applyNumberFormat="1" applyFont="1"/>
    <xf numFmtId="0" fontId="16" fillId="0" borderId="0" xfId="0" applyFont="1"/>
    <xf numFmtId="0" fontId="15" fillId="0" borderId="0" xfId="0" applyFont="1"/>
    <xf numFmtId="2" fontId="15" fillId="0" borderId="0" xfId="0" applyNumberFormat="1" applyFont="1"/>
    <xf numFmtId="168" fontId="16" fillId="0" borderId="0" xfId="0" applyNumberFormat="1" applyFont="1" applyAlignment="1">
      <alignment horizontal="center"/>
    </xf>
    <xf numFmtId="0" fontId="15" fillId="0" borderId="0" xfId="0" applyFont="1" applyAlignment="1">
      <alignment wrapText="1"/>
    </xf>
    <xf numFmtId="0" fontId="16" fillId="6" borderId="0" xfId="0" applyFont="1" applyFill="1"/>
    <xf numFmtId="168" fontId="16" fillId="6" borderId="0" xfId="0" applyNumberFormat="1" applyFont="1" applyFill="1"/>
    <xf numFmtId="2" fontId="16" fillId="6" borderId="0" xfId="0" applyNumberFormat="1" applyFont="1" applyFill="1"/>
    <xf numFmtId="168" fontId="15" fillId="6" borderId="0" xfId="0" applyNumberFormat="1" applyFont="1" applyFill="1"/>
    <xf numFmtId="2" fontId="15" fillId="6" borderId="0" xfId="0" applyNumberFormat="1" applyFont="1" applyFill="1"/>
    <xf numFmtId="168" fontId="9" fillId="6" borderId="0" xfId="0" applyNumberFormat="1" applyFont="1" applyFill="1"/>
    <xf numFmtId="0" fontId="18" fillId="6" borderId="0" xfId="0" applyFont="1" applyFill="1"/>
    <xf numFmtId="168" fontId="18" fillId="6" borderId="0" xfId="0" applyNumberFormat="1" applyFont="1" applyFill="1"/>
    <xf numFmtId="2" fontId="18" fillId="6" borderId="0" xfId="0" applyNumberFormat="1" applyFont="1" applyFill="1"/>
    <xf numFmtId="0" fontId="18" fillId="0" borderId="0" xfId="0" applyFont="1" applyAlignment="1">
      <alignment wrapText="1"/>
    </xf>
    <xf numFmtId="0" fontId="16" fillId="0" borderId="0" xfId="0" applyFont="1" applyAlignment="1">
      <alignment wrapText="1"/>
    </xf>
    <xf numFmtId="14" fontId="0" fillId="3" borderId="0" xfId="0" applyNumberFormat="1" applyFill="1" applyProtection="1">
      <protection locked="0"/>
    </xf>
    <xf numFmtId="0" fontId="1" fillId="2" borderId="1" xfId="0" applyFont="1" applyFill="1" applyBorder="1" applyAlignment="1">
      <alignment horizontal="center"/>
    </xf>
    <xf numFmtId="166" fontId="5" fillId="2" borderId="3" xfId="0" applyNumberFormat="1" applyFont="1" applyFill="1" applyBorder="1" applyAlignment="1">
      <alignment horizontal="center"/>
    </xf>
    <xf numFmtId="0" fontId="1" fillId="6" borderId="0" xfId="0" applyFont="1" applyFill="1"/>
    <xf numFmtId="165" fontId="0" fillId="6" borderId="0" xfId="0" applyNumberFormat="1" applyFill="1"/>
    <xf numFmtId="2" fontId="0" fillId="2" borderId="30" xfId="0" applyNumberFormat="1" applyFill="1" applyBorder="1"/>
    <xf numFmtId="168" fontId="3" fillId="10" borderId="1" xfId="0" applyNumberFormat="1" applyFont="1" applyFill="1" applyBorder="1"/>
    <xf numFmtId="0" fontId="1" fillId="22" borderId="1" xfId="0" applyFont="1" applyFill="1" applyBorder="1"/>
    <xf numFmtId="0" fontId="1" fillId="22" borderId="31" xfId="0" applyFont="1" applyFill="1" applyBorder="1"/>
    <xf numFmtId="168" fontId="3" fillId="13" borderId="1" xfId="0" applyNumberFormat="1" applyFont="1" applyFill="1" applyBorder="1"/>
    <xf numFmtId="0" fontId="1" fillId="23" borderId="1" xfId="0" applyFont="1" applyFill="1" applyBorder="1"/>
    <xf numFmtId="0" fontId="1" fillId="23" borderId="31" xfId="0" applyFont="1" applyFill="1" applyBorder="1"/>
    <xf numFmtId="168" fontId="3" fillId="11" borderId="1" xfId="0" applyNumberFormat="1" applyFont="1" applyFill="1" applyBorder="1"/>
    <xf numFmtId="0" fontId="1" fillId="24" borderId="1" xfId="0" applyFont="1" applyFill="1" applyBorder="1"/>
    <xf numFmtId="0" fontId="1" fillId="24" borderId="31" xfId="0" applyFont="1" applyFill="1" applyBorder="1"/>
    <xf numFmtId="168" fontId="3" fillId="25" borderId="1" xfId="0" applyNumberFormat="1" applyFont="1" applyFill="1" applyBorder="1"/>
    <xf numFmtId="0" fontId="1" fillId="26" borderId="1" xfId="0" applyFont="1" applyFill="1" applyBorder="1"/>
    <xf numFmtId="0" fontId="1" fillId="26" borderId="31" xfId="0" applyFont="1" applyFill="1" applyBorder="1"/>
    <xf numFmtId="168" fontId="3" fillId="12" borderId="1" xfId="0" applyNumberFormat="1" applyFont="1" applyFill="1" applyBorder="1"/>
    <xf numFmtId="0" fontId="1" fillId="27" borderId="1" xfId="0" applyFont="1" applyFill="1" applyBorder="1"/>
    <xf numFmtId="0" fontId="1" fillId="27" borderId="31" xfId="0" applyFont="1" applyFill="1" applyBorder="1"/>
    <xf numFmtId="2" fontId="0" fillId="2" borderId="6" xfId="0" applyNumberFormat="1" applyFill="1" applyBorder="1"/>
    <xf numFmtId="164" fontId="0" fillId="2" borderId="31" xfId="0" applyNumberFormat="1" applyFill="1" applyBorder="1"/>
    <xf numFmtId="166" fontId="0" fillId="6" borderId="34" xfId="0" applyNumberFormat="1" applyFill="1" applyBorder="1"/>
    <xf numFmtId="166" fontId="0" fillId="6" borderId="35" xfId="0" applyNumberFormat="1" applyFill="1" applyBorder="1"/>
    <xf numFmtId="165" fontId="0" fillId="2" borderId="31" xfId="0" applyNumberFormat="1" applyFill="1" applyBorder="1"/>
    <xf numFmtId="0" fontId="0" fillId="14" borderId="9" xfId="0" applyFill="1" applyBorder="1" applyProtection="1">
      <protection locked="0"/>
    </xf>
    <xf numFmtId="0" fontId="0" fillId="14" borderId="33" xfId="0" applyFill="1" applyBorder="1" applyProtection="1">
      <protection locked="0"/>
    </xf>
    <xf numFmtId="0" fontId="0" fillId="14" borderId="36" xfId="0" applyFill="1" applyBorder="1" applyProtection="1">
      <protection locked="0"/>
    </xf>
    <xf numFmtId="0" fontId="0" fillId="8" borderId="9" xfId="0" applyFill="1" applyBorder="1" applyProtection="1">
      <protection locked="0"/>
    </xf>
    <xf numFmtId="0" fontId="0" fillId="8" borderId="33" xfId="0" applyFill="1" applyBorder="1" applyProtection="1">
      <protection locked="0"/>
    </xf>
    <xf numFmtId="0" fontId="0" fillId="8" borderId="36" xfId="0" applyFill="1" applyBorder="1" applyProtection="1">
      <protection locked="0"/>
    </xf>
    <xf numFmtId="0" fontId="0" fillId="19" borderId="9" xfId="0" applyFill="1" applyBorder="1" applyProtection="1">
      <protection locked="0"/>
    </xf>
    <xf numFmtId="0" fontId="0" fillId="9" borderId="33" xfId="0" applyFill="1" applyBorder="1" applyProtection="1">
      <protection locked="0"/>
    </xf>
    <xf numFmtId="0" fontId="0" fillId="7" borderId="8" xfId="0" applyFill="1" applyBorder="1" applyProtection="1">
      <protection locked="0"/>
    </xf>
    <xf numFmtId="0" fontId="0" fillId="9" borderId="8" xfId="0" applyFill="1" applyBorder="1" applyProtection="1">
      <protection locked="0"/>
    </xf>
    <xf numFmtId="0" fontId="20" fillId="6" borderId="0" xfId="0" applyFont="1" applyFill="1"/>
    <xf numFmtId="0" fontId="21" fillId="6" borderId="0" xfId="0" applyFont="1" applyFill="1"/>
    <xf numFmtId="0" fontId="20" fillId="0" borderId="0" xfId="0" applyFont="1"/>
    <xf numFmtId="0" fontId="22" fillId="6" borderId="0" xfId="0" applyFont="1" applyFill="1"/>
    <xf numFmtId="0" fontId="0" fillId="9" borderId="21" xfId="0" applyFill="1" applyBorder="1" applyProtection="1">
      <protection locked="0"/>
    </xf>
    <xf numFmtId="0" fontId="0" fillId="8" borderId="21" xfId="0" applyFill="1" applyBorder="1" applyProtection="1">
      <protection locked="0"/>
    </xf>
    <xf numFmtId="0" fontId="0" fillId="14" borderId="17" xfId="0" applyFill="1" applyBorder="1" applyProtection="1">
      <protection locked="0"/>
    </xf>
    <xf numFmtId="0" fontId="0" fillId="7" borderId="21" xfId="0" applyFill="1" applyBorder="1" applyProtection="1">
      <protection locked="0"/>
    </xf>
    <xf numFmtId="0" fontId="0" fillId="7" borderId="33" xfId="0" applyFill="1" applyBorder="1" applyProtection="1">
      <protection locked="0"/>
    </xf>
    <xf numFmtId="0" fontId="0" fillId="9" borderId="36" xfId="0" applyFill="1" applyBorder="1" applyProtection="1">
      <protection locked="0"/>
    </xf>
    <xf numFmtId="14" fontId="22" fillId="28" borderId="38" xfId="0" applyNumberFormat="1" applyFont="1" applyFill="1" applyBorder="1" applyProtection="1">
      <protection locked="0"/>
    </xf>
    <xf numFmtId="170" fontId="22" fillId="28" borderId="38" xfId="0" applyNumberFormat="1" applyFont="1" applyFill="1" applyBorder="1" applyProtection="1">
      <protection locked="0"/>
    </xf>
    <xf numFmtId="0" fontId="23" fillId="6" borderId="0" xfId="0" applyFont="1" applyFill="1"/>
    <xf numFmtId="0" fontId="7" fillId="7" borderId="13" xfId="0" applyFont="1" applyFill="1" applyBorder="1" applyProtection="1">
      <protection locked="0"/>
    </xf>
    <xf numFmtId="0" fontId="7" fillId="14" borderId="16" xfId="0" applyFont="1" applyFill="1" applyBorder="1" applyProtection="1">
      <protection locked="0"/>
    </xf>
    <xf numFmtId="0" fontId="7" fillId="8" borderId="13" xfId="0" applyFont="1" applyFill="1" applyBorder="1" applyProtection="1">
      <protection locked="0"/>
    </xf>
    <xf numFmtId="0" fontId="7" fillId="19" borderId="13" xfId="0" applyFont="1" applyFill="1" applyBorder="1" applyProtection="1">
      <protection locked="0"/>
    </xf>
    <xf numFmtId="0" fontId="7" fillId="9" borderId="13" xfId="0" applyFont="1" applyFill="1" applyBorder="1" applyProtection="1">
      <protection locked="0"/>
    </xf>
    <xf numFmtId="0" fontId="7" fillId="28" borderId="0" xfId="0" applyFont="1" applyFill="1" applyProtection="1">
      <protection locked="0"/>
    </xf>
    <xf numFmtId="0" fontId="17" fillId="10" borderId="1" xfId="0" applyFont="1" applyFill="1" applyBorder="1"/>
    <xf numFmtId="0" fontId="17" fillId="13" borderId="1" xfId="0" applyFont="1" applyFill="1" applyBorder="1"/>
    <xf numFmtId="0" fontId="17" fillId="11" borderId="1" xfId="0" applyFont="1" applyFill="1" applyBorder="1"/>
    <xf numFmtId="0" fontId="17" fillId="25" borderId="1" xfId="0" applyFont="1" applyFill="1" applyBorder="1"/>
    <xf numFmtId="0" fontId="17" fillId="12" borderId="1" xfId="0" applyFont="1" applyFill="1" applyBorder="1"/>
    <xf numFmtId="20" fontId="0" fillId="7" borderId="8" xfId="0" applyNumberFormat="1" applyFill="1" applyBorder="1" applyProtection="1">
      <protection locked="0"/>
    </xf>
    <xf numFmtId="20" fontId="0" fillId="7" borderId="21" xfId="0" applyNumberFormat="1" applyFill="1" applyBorder="1" applyProtection="1">
      <protection locked="0"/>
    </xf>
    <xf numFmtId="20" fontId="0" fillId="14" borderId="9" xfId="0" applyNumberFormat="1" applyFill="1" applyBorder="1" applyProtection="1">
      <protection locked="0"/>
    </xf>
    <xf numFmtId="20" fontId="0" fillId="14" borderId="17" xfId="0" applyNumberFormat="1" applyFill="1" applyBorder="1" applyProtection="1">
      <protection locked="0"/>
    </xf>
    <xf numFmtId="20" fontId="0" fillId="8" borderId="9" xfId="0" applyNumberFormat="1" applyFill="1" applyBorder="1" applyProtection="1">
      <protection locked="0"/>
    </xf>
    <xf numFmtId="20" fontId="0" fillId="8" borderId="21" xfId="0" applyNumberFormat="1" applyFill="1" applyBorder="1" applyProtection="1">
      <protection locked="0"/>
    </xf>
    <xf numFmtId="20" fontId="0" fillId="19" borderId="9" xfId="0" applyNumberFormat="1" applyFill="1" applyBorder="1" applyProtection="1">
      <protection locked="0"/>
    </xf>
    <xf numFmtId="20" fontId="0" fillId="9" borderId="8" xfId="0" applyNumberFormat="1" applyFill="1" applyBorder="1" applyProtection="1">
      <protection locked="0"/>
    </xf>
    <xf numFmtId="20" fontId="0" fillId="9" borderId="21" xfId="0" applyNumberFormat="1" applyFill="1" applyBorder="1" applyProtection="1">
      <protection locked="0"/>
    </xf>
    <xf numFmtId="14" fontId="0" fillId="7" borderId="7" xfId="0" applyNumberFormat="1" applyFill="1" applyBorder="1" applyProtection="1">
      <protection locked="0"/>
    </xf>
    <xf numFmtId="14" fontId="0" fillId="7" borderId="20" xfId="0" applyNumberFormat="1" applyFill="1" applyBorder="1" applyProtection="1">
      <protection locked="0"/>
    </xf>
    <xf numFmtId="14" fontId="0" fillId="9" borderId="20" xfId="0" applyNumberFormat="1" applyFill="1" applyBorder="1" applyProtection="1">
      <protection locked="0"/>
    </xf>
    <xf numFmtId="14" fontId="0" fillId="14" borderId="41" xfId="0" applyNumberFormat="1" applyFill="1" applyBorder="1" applyProtection="1">
      <protection locked="0"/>
    </xf>
    <xf numFmtId="14" fontId="0" fillId="14" borderId="42" xfId="0" applyNumberFormat="1" applyFill="1" applyBorder="1" applyProtection="1">
      <protection locked="0"/>
    </xf>
    <xf numFmtId="14" fontId="0" fillId="8" borderId="7" xfId="0" applyNumberFormat="1" applyFill="1" applyBorder="1" applyProtection="1">
      <protection locked="0"/>
    </xf>
    <xf numFmtId="14" fontId="0" fillId="19" borderId="41" xfId="0" applyNumberFormat="1" applyFill="1" applyBorder="1" applyProtection="1">
      <protection locked="0"/>
    </xf>
    <xf numFmtId="14" fontId="0" fillId="19" borderId="42" xfId="0" applyNumberFormat="1" applyFill="1" applyBorder="1" applyProtection="1">
      <protection locked="0"/>
    </xf>
    <xf numFmtId="14" fontId="0" fillId="9" borderId="7" xfId="0" applyNumberFormat="1" applyFill="1" applyBorder="1" applyProtection="1">
      <protection locked="0"/>
    </xf>
    <xf numFmtId="20" fontId="0" fillId="7" borderId="33" xfId="0" applyNumberFormat="1" applyFill="1" applyBorder="1" applyProtection="1">
      <protection locked="0"/>
    </xf>
    <xf numFmtId="20" fontId="0" fillId="14" borderId="33" xfId="0" applyNumberFormat="1" applyFill="1" applyBorder="1" applyProtection="1">
      <protection locked="0"/>
    </xf>
    <xf numFmtId="20" fontId="0" fillId="8" borderId="33" xfId="0" applyNumberFormat="1" applyFill="1" applyBorder="1" applyProtection="1">
      <protection locked="0"/>
    </xf>
    <xf numFmtId="20" fontId="0" fillId="9" borderId="33" xfId="0" applyNumberFormat="1" applyFill="1" applyBorder="1" applyProtection="1">
      <protection locked="0"/>
    </xf>
    <xf numFmtId="14" fontId="0" fillId="7" borderId="32" xfId="0" applyNumberFormat="1" applyFill="1" applyBorder="1" applyProtection="1">
      <protection locked="0"/>
    </xf>
    <xf numFmtId="14" fontId="0" fillId="9" borderId="32" xfId="0" applyNumberFormat="1" applyFill="1" applyBorder="1" applyProtection="1">
      <protection locked="0"/>
    </xf>
    <xf numFmtId="14" fontId="0" fillId="19" borderId="32" xfId="0" applyNumberFormat="1" applyFill="1" applyBorder="1" applyProtection="1">
      <protection locked="0"/>
    </xf>
    <xf numFmtId="14" fontId="0" fillId="8" borderId="32" xfId="0" applyNumberFormat="1" applyFill="1" applyBorder="1" applyProtection="1">
      <protection locked="0"/>
    </xf>
    <xf numFmtId="14" fontId="0" fillId="14" borderId="32" xfId="0" applyNumberFormat="1" applyFill="1" applyBorder="1" applyProtection="1">
      <protection locked="0"/>
    </xf>
    <xf numFmtId="14" fontId="0" fillId="14" borderId="43" xfId="0" applyNumberFormat="1" applyFill="1" applyBorder="1" applyProtection="1">
      <protection locked="0"/>
    </xf>
    <xf numFmtId="14" fontId="0" fillId="8" borderId="43" xfId="0" applyNumberFormat="1" applyFill="1" applyBorder="1" applyProtection="1">
      <protection locked="0"/>
    </xf>
    <xf numFmtId="14" fontId="0" fillId="9" borderId="43" xfId="0" applyNumberFormat="1" applyFill="1" applyBorder="1" applyProtection="1">
      <protection locked="0"/>
    </xf>
    <xf numFmtId="0" fontId="18" fillId="6" borderId="0" xfId="0" applyFont="1" applyFill="1" applyAlignment="1">
      <alignment horizontal="left"/>
    </xf>
    <xf numFmtId="0" fontId="12" fillId="6" borderId="0" xfId="75" applyFill="1" applyAlignment="1">
      <alignment horizontal="left"/>
    </xf>
    <xf numFmtId="1" fontId="16" fillId="6" borderId="0" xfId="0" applyNumberFormat="1" applyFont="1" applyFill="1" applyAlignment="1">
      <alignment horizontal="center"/>
    </xf>
    <xf numFmtId="1" fontId="8" fillId="6" borderId="0" xfId="0" applyNumberFormat="1" applyFont="1" applyFill="1"/>
    <xf numFmtId="1" fontId="18" fillId="6" borderId="0" xfId="0" applyNumberFormat="1" applyFont="1" applyFill="1"/>
    <xf numFmtId="1" fontId="15" fillId="6" borderId="0" xfId="0" applyNumberFormat="1" applyFont="1" applyFill="1"/>
    <xf numFmtId="1" fontId="18" fillId="6" borderId="0" xfId="0" applyNumberFormat="1" applyFont="1" applyFill="1" applyAlignment="1">
      <alignment horizontal="left"/>
    </xf>
    <xf numFmtId="1" fontId="15" fillId="0" borderId="0" xfId="0" applyNumberFormat="1" applyFont="1"/>
    <xf numFmtId="0" fontId="18" fillId="0" borderId="0" xfId="0" applyFont="1" applyFill="1"/>
    <xf numFmtId="0" fontId="15" fillId="0" borderId="0" xfId="0" applyFont="1" applyFill="1"/>
    <xf numFmtId="14" fontId="0" fillId="8" borderId="20" xfId="0" applyNumberFormat="1" applyFill="1" applyBorder="1" applyProtection="1">
      <protection locked="0"/>
    </xf>
    <xf numFmtId="2" fontId="0" fillId="6" borderId="0" xfId="0" applyNumberFormat="1" applyFill="1"/>
    <xf numFmtId="14" fontId="0" fillId="19" borderId="43" xfId="0" applyNumberFormat="1" applyFill="1" applyBorder="1" applyProtection="1">
      <protection locked="0"/>
    </xf>
    <xf numFmtId="0" fontId="1" fillId="2" borderId="0" xfId="0" applyFont="1" applyFill="1" applyProtection="1"/>
    <xf numFmtId="0" fontId="0" fillId="2" borderId="0" xfId="0" applyFill="1" applyProtection="1"/>
    <xf numFmtId="164" fontId="0" fillId="2" borderId="0" xfId="0" applyNumberFormat="1" applyFill="1" applyProtection="1"/>
    <xf numFmtId="165" fontId="0" fillId="2" borderId="0" xfId="0" applyNumberFormat="1" applyFill="1" applyProtection="1"/>
    <xf numFmtId="0" fontId="0" fillId="5" borderId="0" xfId="0" applyFill="1" applyProtection="1"/>
    <xf numFmtId="0" fontId="0" fillId="6" borderId="0" xfId="0" applyFill="1" applyProtection="1"/>
    <xf numFmtId="0" fontId="0" fillId="0" borderId="0" xfId="0" applyProtection="1"/>
    <xf numFmtId="0" fontId="1" fillId="5" borderId="0" xfId="0" applyFont="1" applyFill="1" applyProtection="1"/>
    <xf numFmtId="0" fontId="7" fillId="6" borderId="0" xfId="0" applyFont="1" applyFill="1" applyProtection="1"/>
    <xf numFmtId="0" fontId="24" fillId="6" borderId="39" xfId="0" applyFont="1" applyFill="1" applyBorder="1" applyAlignment="1" applyProtection="1">
      <alignment horizontal="right"/>
    </xf>
    <xf numFmtId="0" fontId="24" fillId="6" borderId="40" xfId="0" applyFont="1" applyFill="1" applyBorder="1" applyAlignment="1" applyProtection="1">
      <alignment horizontal="right"/>
    </xf>
    <xf numFmtId="167" fontId="0" fillId="2" borderId="0" xfId="0" applyNumberFormat="1" applyFill="1" applyProtection="1"/>
    <xf numFmtId="165" fontId="25" fillId="2" borderId="0" xfId="0" applyNumberFormat="1" applyFont="1" applyFill="1" applyProtection="1"/>
    <xf numFmtId="169" fontId="0" fillId="2" borderId="0" xfId="0" applyNumberFormat="1" applyFill="1" applyProtection="1"/>
    <xf numFmtId="0" fontId="7" fillId="2" borderId="0" xfId="0" applyFont="1" applyFill="1" applyProtection="1"/>
    <xf numFmtId="0" fontId="0" fillId="4" borderId="0" xfId="0" applyFill="1" applyProtection="1"/>
    <xf numFmtId="166" fontId="0" fillId="2" borderId="0" xfId="0" applyNumberFormat="1" applyFill="1" applyProtection="1"/>
    <xf numFmtId="0" fontId="2" fillId="2" borderId="0" xfId="0" applyFont="1" applyFill="1" applyProtection="1"/>
    <xf numFmtId="164" fontId="0" fillId="6" borderId="0" xfId="0" applyNumberFormat="1" applyFill="1" applyProtection="1"/>
    <xf numFmtId="165" fontId="2" fillId="2" borderId="0" xfId="0" applyNumberFormat="1" applyFont="1" applyFill="1" applyProtection="1"/>
    <xf numFmtId="0" fontId="4" fillId="2" borderId="0" xfId="0" applyFont="1" applyFill="1" applyProtection="1"/>
    <xf numFmtId="0" fontId="3" fillId="4" borderId="0" xfId="0" applyFont="1" applyFill="1" applyProtection="1"/>
    <xf numFmtId="1" fontId="0" fillId="4" borderId="0" xfId="0" applyNumberFormat="1" applyFill="1" applyProtection="1"/>
    <xf numFmtId="0" fontId="2" fillId="5" borderId="0" xfId="0" applyFont="1" applyFill="1" applyProtection="1"/>
    <xf numFmtId="0" fontId="1" fillId="2" borderId="1" xfId="0" applyFont="1" applyFill="1" applyBorder="1" applyAlignment="1" applyProtection="1">
      <alignment horizontal="center"/>
    </xf>
    <xf numFmtId="0" fontId="1" fillId="2" borderId="6" xfId="0" applyFont="1" applyFill="1" applyBorder="1" applyAlignment="1" applyProtection="1">
      <alignment horizontal="center" wrapText="1"/>
    </xf>
    <xf numFmtId="164" fontId="1" fillId="2" borderId="6" xfId="0" applyNumberFormat="1" applyFont="1" applyFill="1" applyBorder="1" applyAlignment="1" applyProtection="1">
      <alignment horizontal="center" wrapText="1"/>
    </xf>
    <xf numFmtId="0" fontId="1" fillId="6" borderId="10" xfId="0" applyFont="1" applyFill="1" applyBorder="1" applyAlignment="1" applyProtection="1">
      <alignment horizontal="center"/>
    </xf>
    <xf numFmtId="0" fontId="1" fillId="6" borderId="12" xfId="0" applyFont="1" applyFill="1" applyBorder="1" applyAlignment="1" applyProtection="1">
      <alignment horizontal="center"/>
    </xf>
    <xf numFmtId="166" fontId="5" fillId="2" borderId="11" xfId="0" applyNumberFormat="1" applyFont="1" applyFill="1" applyBorder="1" applyAlignment="1" applyProtection="1">
      <alignment horizontal="center"/>
    </xf>
    <xf numFmtId="166" fontId="5" fillId="2" borderId="3" xfId="0" applyNumberFormat="1" applyFont="1" applyFill="1" applyBorder="1" applyAlignment="1" applyProtection="1">
      <alignment horizontal="center"/>
    </xf>
    <xf numFmtId="168" fontId="3" fillId="10" borderId="1" xfId="0" applyNumberFormat="1" applyFont="1" applyFill="1" applyBorder="1" applyProtection="1"/>
    <xf numFmtId="0" fontId="1" fillId="16" borderId="13" xfId="0" applyFont="1" applyFill="1" applyBorder="1" applyProtection="1"/>
    <xf numFmtId="14" fontId="0" fillId="7" borderId="7" xfId="0" applyNumberFormat="1" applyFill="1" applyBorder="1" applyProtection="1"/>
    <xf numFmtId="2" fontId="0" fillId="15" borderId="8" xfId="0" applyNumberFormat="1" applyFill="1" applyBorder="1" applyProtection="1"/>
    <xf numFmtId="164" fontId="0" fillId="2" borderId="1" xfId="0" applyNumberFormat="1" applyFill="1" applyBorder="1" applyProtection="1"/>
    <xf numFmtId="166" fontId="0" fillId="6" borderId="4" xfId="0" applyNumberFormat="1" applyFill="1" applyBorder="1" applyProtection="1"/>
    <xf numFmtId="165" fontId="0" fillId="2" borderId="3" xfId="0" applyNumberFormat="1" applyFill="1" applyBorder="1" applyProtection="1"/>
    <xf numFmtId="0" fontId="1" fillId="16" borderId="14" xfId="0" applyFont="1" applyFill="1" applyBorder="1" applyProtection="1"/>
    <xf numFmtId="0" fontId="1" fillId="22" borderId="31" xfId="0" applyFont="1" applyFill="1" applyBorder="1" applyProtection="1"/>
    <xf numFmtId="164" fontId="0" fillId="2" borderId="2" xfId="0" applyNumberFormat="1" applyFill="1" applyBorder="1" applyProtection="1"/>
    <xf numFmtId="166" fontId="0" fillId="6" borderId="0" xfId="0" applyNumberFormat="1" applyFill="1" applyProtection="1"/>
    <xf numFmtId="168" fontId="3" fillId="13" borderId="1" xfId="0" applyNumberFormat="1" applyFont="1" applyFill="1" applyBorder="1" applyProtection="1"/>
    <xf numFmtId="0" fontId="1" fillId="17" borderId="29" xfId="0" applyFont="1" applyFill="1" applyBorder="1" applyProtection="1"/>
    <xf numFmtId="166" fontId="3" fillId="4" borderId="0" xfId="0" applyNumberFormat="1" applyFont="1" applyFill="1" applyProtection="1"/>
    <xf numFmtId="0" fontId="1" fillId="17" borderId="16" xfId="0" applyFont="1" applyFill="1" applyBorder="1" applyProtection="1"/>
    <xf numFmtId="0" fontId="1" fillId="23" borderId="31" xfId="0" applyFont="1" applyFill="1" applyBorder="1" applyProtection="1"/>
    <xf numFmtId="168" fontId="3" fillId="11" borderId="1" xfId="0" applyNumberFormat="1" applyFont="1" applyFill="1" applyBorder="1" applyProtection="1"/>
    <xf numFmtId="0" fontId="1" fillId="18" borderId="13" xfId="0" applyFont="1" applyFill="1" applyBorder="1" applyProtection="1"/>
    <xf numFmtId="0" fontId="1" fillId="18" borderId="16" xfId="0" applyFont="1" applyFill="1" applyBorder="1" applyProtection="1"/>
    <xf numFmtId="0" fontId="1" fillId="24" borderId="31" xfId="0" applyFont="1" applyFill="1" applyBorder="1" applyProtection="1"/>
    <xf numFmtId="168" fontId="3" fillId="25" borderId="1" xfId="0" applyNumberFormat="1" applyFont="1" applyFill="1" applyBorder="1" applyProtection="1"/>
    <xf numFmtId="0" fontId="1" fillId="20" borderId="27" xfId="0" applyFont="1" applyFill="1" applyBorder="1" applyProtection="1"/>
    <xf numFmtId="0" fontId="1" fillId="20" borderId="14" xfId="0" applyFont="1" applyFill="1" applyBorder="1" applyProtection="1"/>
    <xf numFmtId="0" fontId="1" fillId="26" borderId="31" xfId="0" applyFont="1" applyFill="1" applyBorder="1" applyProtection="1"/>
    <xf numFmtId="0" fontId="1" fillId="20" borderId="28" xfId="0" applyFont="1" applyFill="1" applyBorder="1" applyProtection="1"/>
    <xf numFmtId="168" fontId="3" fillId="12" borderId="1" xfId="0" applyNumberFormat="1" applyFont="1" applyFill="1" applyBorder="1" applyProtection="1"/>
    <xf numFmtId="0" fontId="1" fillId="21" borderId="18" xfId="0" applyFont="1" applyFill="1" applyBorder="1" applyProtection="1"/>
    <xf numFmtId="164" fontId="0" fillId="2" borderId="23" xfId="0" applyNumberFormat="1" applyFill="1" applyBorder="1" applyProtection="1"/>
    <xf numFmtId="165" fontId="0" fillId="2" borderId="2" xfId="0" applyNumberFormat="1" applyFill="1" applyBorder="1" applyProtection="1"/>
    <xf numFmtId="0" fontId="1" fillId="21" borderId="14" xfId="0" applyFont="1" applyFill="1" applyBorder="1" applyProtection="1"/>
    <xf numFmtId="0" fontId="1" fillId="21" borderId="28" xfId="0" applyFont="1" applyFill="1" applyBorder="1" applyProtection="1"/>
    <xf numFmtId="0" fontId="1" fillId="21" borderId="15" xfId="0" applyFont="1" applyFill="1" applyBorder="1" applyProtection="1"/>
    <xf numFmtId="0" fontId="1" fillId="21" borderId="19" xfId="0" applyFont="1" applyFill="1" applyBorder="1" applyProtection="1"/>
    <xf numFmtId="2" fontId="0" fillId="15" borderId="37" xfId="0" applyNumberFormat="1" applyFill="1" applyBorder="1" applyProtection="1"/>
    <xf numFmtId="164" fontId="0" fillId="2" borderId="24" xfId="0" applyNumberFormat="1" applyFill="1" applyBorder="1" applyProtection="1"/>
    <xf numFmtId="166" fontId="0" fillId="6" borderId="25" xfId="0" applyNumberFormat="1" applyFill="1" applyBorder="1" applyProtection="1"/>
    <xf numFmtId="166" fontId="0" fillId="6" borderId="22" xfId="0" applyNumberFormat="1" applyFill="1" applyBorder="1" applyProtection="1"/>
    <xf numFmtId="165" fontId="0" fillId="2" borderId="26" xfId="0" applyNumberFormat="1" applyFill="1" applyBorder="1" applyProtection="1"/>
    <xf numFmtId="0" fontId="1" fillId="6" borderId="0" xfId="0" applyFont="1" applyFill="1" applyProtection="1"/>
    <xf numFmtId="165" fontId="0" fillId="6" borderId="0" xfId="0" applyNumberFormat="1" applyFill="1" applyProtection="1"/>
    <xf numFmtId="2" fontId="0" fillId="6" borderId="0" xfId="0" applyNumberFormat="1" applyFill="1" applyProtection="1"/>
    <xf numFmtId="0" fontId="1" fillId="0" borderId="0" xfId="0" applyFont="1" applyProtection="1"/>
    <xf numFmtId="164" fontId="0" fillId="0" borderId="0" xfId="0" applyNumberFormat="1" applyProtection="1"/>
    <xf numFmtId="165" fontId="0" fillId="0" borderId="0" xfId="0" applyNumberFormat="1" applyProtection="1"/>
  </cellXfs>
  <cellStyles count="76">
    <cellStyle name="Gevolgde hyperlink" xfId="2" builtinId="9" hidden="1"/>
    <cellStyle name="Gevolgde hyperlink" xfId="4" builtinId="9" hidden="1"/>
    <cellStyle name="Gevolgde hyperlink" xfId="6" builtinId="9" hidden="1"/>
    <cellStyle name="Gevolgde hyperlink" xfId="8" builtinId="9" hidden="1"/>
    <cellStyle name="Gevolgde hyperlink" xfId="10" builtinId="9" hidden="1"/>
    <cellStyle name="Gevolgde hyperlink" xfId="12" builtinId="9" hidden="1"/>
    <cellStyle name="Gevolgde hyperlink" xfId="14" builtinId="9" hidden="1"/>
    <cellStyle name="Gevolgde hyperlink" xfId="16" builtinId="9" hidden="1"/>
    <cellStyle name="Gevolgde hyperlink" xfId="18" builtinId="9" hidden="1"/>
    <cellStyle name="Gevolgde hyperlink" xfId="20" builtinId="9" hidden="1"/>
    <cellStyle name="Gevolgde hyperlink" xfId="22" builtinId="9" hidden="1"/>
    <cellStyle name="Gevolgde hyperlink" xfId="24" builtinId="9" hidden="1"/>
    <cellStyle name="Gevolgde hyperlink" xfId="26" builtinId="9" hidden="1"/>
    <cellStyle name="Gevolgde hyperlink" xfId="28" builtinId="9" hidden="1"/>
    <cellStyle name="Gevolgde hyperlink" xfId="30" builtinId="9" hidden="1"/>
    <cellStyle name="Gevolgde hyperlink" xfId="32" builtinId="9" hidden="1"/>
    <cellStyle name="Gevolgde hyperlink" xfId="34" builtinId="9" hidden="1"/>
    <cellStyle name="Gevolgde hyperlink" xfId="36" builtinId="9" hidden="1"/>
    <cellStyle name="Gevolgde hyperlink" xfId="38" builtinId="9" hidden="1"/>
    <cellStyle name="Gevolgde hyperlink" xfId="40" builtinId="9" hidden="1"/>
    <cellStyle name="Gevolgde hyperlink" xfId="42" builtinId="9" hidden="1"/>
    <cellStyle name="Gevolgde hyperlink" xfId="44" builtinId="9" hidden="1"/>
    <cellStyle name="Gevolgde hyperlink" xfId="46" builtinId="9" hidden="1"/>
    <cellStyle name="Gevolgde hyperlink" xfId="48" builtinId="9" hidden="1"/>
    <cellStyle name="Gevolgde hyperlink" xfId="50" builtinId="9" hidden="1"/>
    <cellStyle name="Gevolgde hyperlink" xfId="52" builtinId="9" hidden="1"/>
    <cellStyle name="Gevolgde hyperlink" xfId="54" builtinId="9" hidden="1"/>
    <cellStyle name="Gevolgde hyperlink" xfId="56" builtinId="9" hidden="1"/>
    <cellStyle name="Gevolgde hyperlink" xfId="58" builtinId="9" hidden="1"/>
    <cellStyle name="Gevolgde hyperlink" xfId="60" builtinId="9" hidden="1"/>
    <cellStyle name="Gevolgde hyperlink" xfId="62" builtinId="9" hidden="1"/>
    <cellStyle name="Gevolgde hyperlink" xfId="64" builtinId="9" hidden="1"/>
    <cellStyle name="Gevolgde hyperlink" xfId="66" builtinId="9" hidden="1"/>
    <cellStyle name="Gevolgde hyperlink" xfId="68" builtinId="9" hidden="1"/>
    <cellStyle name="Gevolgde hyperlink" xfId="70" builtinId="9" hidden="1"/>
    <cellStyle name="Gevolgde hyperlink" xfId="72" builtinId="9" hidden="1"/>
    <cellStyle name="Gevolgde hyperlink" xfId="7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cellStyle name="Standaard" xfId="0" builtinId="0"/>
  </cellStyles>
  <dxfs count="4">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First order extinction-V (kapV)</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scatterChart>
        <c:scatterStyle val="lineMarker"/>
        <c:varyColors val="0"/>
        <c:ser>
          <c:idx val="0"/>
          <c:order val="0"/>
          <c:tx>
            <c:strRef>
              <c:f>'Data Entry-V'!$M$15</c:f>
              <c:strCache>
                <c:ptCount val="1"/>
                <c:pt idx="0">
                  <c:v>v-V</c:v>
                </c:pt>
              </c:strCache>
            </c:strRef>
          </c:tx>
          <c:spPr>
            <a:ln w="47625"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38817760279965002"/>
                  <c:y val="0.21051399825021899"/>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trendlineLbl>
          </c:trendline>
          <c:xVal>
            <c:numRef>
              <c:f>'Data Entry-V'!$L$16:$L$24</c:f>
              <c:numCache>
                <c:formatCode>0.000</c:formatCode>
                <c:ptCount val="9"/>
                <c:pt idx="0">
                  <c:v>#N/A</c:v>
                </c:pt>
                <c:pt idx="2">
                  <c:v>#N/A</c:v>
                </c:pt>
                <c:pt idx="4">
                  <c:v>#N/A</c:v>
                </c:pt>
                <c:pt idx="6">
                  <c:v>#N/A</c:v>
                </c:pt>
                <c:pt idx="8">
                  <c:v>#N/A</c:v>
                </c:pt>
              </c:numCache>
            </c:numRef>
          </c:xVal>
          <c:yVal>
            <c:numRef>
              <c:f>'Data Entry-V'!$M$16:$M$24</c:f>
              <c:numCache>
                <c:formatCode>0.000</c:formatCode>
                <c:ptCount val="9"/>
                <c:pt idx="0" formatCode="General">
                  <c:v>0</c:v>
                </c:pt>
                <c:pt idx="2">
                  <c:v>0</c:v>
                </c:pt>
                <c:pt idx="4" formatCode="General">
                  <c:v>0</c:v>
                </c:pt>
                <c:pt idx="6" formatCode="General">
                  <c:v>0</c:v>
                </c:pt>
                <c:pt idx="8" formatCode="General">
                  <c:v>0</c:v>
                </c:pt>
              </c:numCache>
            </c:numRef>
          </c:yVal>
          <c:smooth val="0"/>
          <c:extLst>
            <c:ext xmlns:c16="http://schemas.microsoft.com/office/drawing/2014/chart" uri="{C3380CC4-5D6E-409C-BE32-E72D297353CC}">
              <c16:uniqueId val="{00000001-DB13-CA45-AF59-B81F18F4DBF5}"/>
            </c:ext>
          </c:extLst>
        </c:ser>
        <c:dLbls>
          <c:showLegendKey val="0"/>
          <c:showVal val="0"/>
          <c:showCatName val="0"/>
          <c:showSerName val="0"/>
          <c:showPercent val="0"/>
          <c:showBubbleSize val="0"/>
        </c:dLbls>
        <c:axId val="251009216"/>
        <c:axId val="251013280"/>
      </c:scatterChart>
      <c:valAx>
        <c:axId val="251009216"/>
        <c:scaling>
          <c:orientation val="minMax"/>
          <c:max val="2.2000000000000002"/>
          <c:min val="1"/>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a:t>airmass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NL"/>
            </a:p>
          </c:txPr>
        </c:title>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51013280"/>
        <c:crosses val="autoZero"/>
        <c:crossBetween val="midCat"/>
      </c:valAx>
      <c:valAx>
        <c:axId val="2510132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a:t>v-V</a:t>
                </a:r>
              </a:p>
            </c:rich>
          </c:tx>
          <c:layout>
            <c:manualLayout>
              <c:xMode val="edge"/>
              <c:yMode val="edge"/>
              <c:x val="3.6111111111111101E-2"/>
              <c:y val="0.4171912365121029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NL"/>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51009216"/>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First order extinction-B (kapB)</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scatterChart>
        <c:scatterStyle val="lineMarker"/>
        <c:varyColors val="0"/>
        <c:ser>
          <c:idx val="0"/>
          <c:order val="0"/>
          <c:tx>
            <c:strRef>
              <c:f>'Data Entry-B'!$M$15</c:f>
              <c:strCache>
                <c:ptCount val="1"/>
                <c:pt idx="0">
                  <c:v>b-B</c:v>
                </c:pt>
              </c:strCache>
            </c:strRef>
          </c:tx>
          <c:spPr>
            <a:ln w="47625"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16384633449785008"/>
                  <c:y val="0.3648832711496563"/>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trendlineLbl>
          </c:trendline>
          <c:xVal>
            <c:numRef>
              <c:f>'Data Entry-B'!$L$16:$L$24</c:f>
              <c:numCache>
                <c:formatCode>0.000</c:formatCode>
                <c:ptCount val="9"/>
                <c:pt idx="0">
                  <c:v>#N/A</c:v>
                </c:pt>
                <c:pt idx="2">
                  <c:v>#N/A</c:v>
                </c:pt>
                <c:pt idx="4">
                  <c:v>#N/A</c:v>
                </c:pt>
                <c:pt idx="6">
                  <c:v>#N/A</c:v>
                </c:pt>
                <c:pt idx="8">
                  <c:v>#N/A</c:v>
                </c:pt>
              </c:numCache>
            </c:numRef>
          </c:xVal>
          <c:yVal>
            <c:numRef>
              <c:f>'Data Entry-B'!$M$16:$M$24</c:f>
              <c:numCache>
                <c:formatCode>0.000</c:formatCode>
                <c:ptCount val="9"/>
                <c:pt idx="0" formatCode="General">
                  <c:v>0</c:v>
                </c:pt>
                <c:pt idx="2" formatCode="General">
                  <c:v>0</c:v>
                </c:pt>
                <c:pt idx="4" formatCode="General">
                  <c:v>0</c:v>
                </c:pt>
                <c:pt idx="6" formatCode="General">
                  <c:v>0</c:v>
                </c:pt>
                <c:pt idx="8" formatCode="General">
                  <c:v>0</c:v>
                </c:pt>
              </c:numCache>
            </c:numRef>
          </c:yVal>
          <c:smooth val="0"/>
          <c:extLst>
            <c:ext xmlns:c16="http://schemas.microsoft.com/office/drawing/2014/chart" uri="{C3380CC4-5D6E-409C-BE32-E72D297353CC}">
              <c16:uniqueId val="{00000001-0375-5E40-AFF4-2FA8F0DE29C2}"/>
            </c:ext>
          </c:extLst>
        </c:ser>
        <c:dLbls>
          <c:showLegendKey val="0"/>
          <c:showVal val="0"/>
          <c:showCatName val="0"/>
          <c:showSerName val="0"/>
          <c:showPercent val="0"/>
          <c:showBubbleSize val="0"/>
        </c:dLbls>
        <c:axId val="251041136"/>
        <c:axId val="251044896"/>
      </c:scatterChart>
      <c:valAx>
        <c:axId val="251041136"/>
        <c:scaling>
          <c:orientation val="minMax"/>
          <c:max val="2.2000000000000002"/>
          <c:min val="1"/>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a:t>airmass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NL"/>
            </a:p>
          </c:txPr>
        </c:title>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51044896"/>
        <c:crosses val="autoZero"/>
        <c:crossBetween val="midCat"/>
      </c:valAx>
      <c:valAx>
        <c:axId val="2510448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a:t>b-B</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NL"/>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51041136"/>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9</xdr:col>
      <xdr:colOff>262466</xdr:colOff>
      <xdr:row>0</xdr:row>
      <xdr:rowOff>0</xdr:rowOff>
    </xdr:from>
    <xdr:to>
      <xdr:col>15</xdr:col>
      <xdr:colOff>16933</xdr:colOff>
      <xdr:row>14</xdr:row>
      <xdr:rowOff>10527</xdr:rowOff>
    </xdr:to>
    <xdr:graphicFrame macro="">
      <xdr:nvGraphicFramePr>
        <xdr:cNvPr id="2" name="Grafiek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214489</xdr:colOff>
      <xdr:row>0</xdr:row>
      <xdr:rowOff>0</xdr:rowOff>
    </xdr:from>
    <xdr:to>
      <xdr:col>14</xdr:col>
      <xdr:colOff>880532</xdr:colOff>
      <xdr:row>13</xdr:row>
      <xdr:rowOff>169332</xdr:rowOff>
    </xdr:to>
    <xdr:graphicFrame macro="">
      <xdr:nvGraphicFramePr>
        <xdr:cNvPr id="3" name="Grafiek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hyperlink" Target="https://aa.usno.navy.mil/faq/GAST" TargetMode="External"/><Relationship Id="rId1" Type="http://schemas.openxmlformats.org/officeDocument/2006/relationships/hyperlink" Target="https://aa.usno.navy.mil/faq/alt_a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9"/>
  <sheetViews>
    <sheetView tabSelected="1" zoomScale="130" zoomScaleNormal="130" zoomScalePageLayoutView="150" workbookViewId="0">
      <selection activeCell="B8" sqref="B8"/>
    </sheetView>
  </sheetViews>
  <sheetFormatPr baseColWidth="10" defaultColWidth="11.5" defaultRowHeight="13" x14ac:dyDescent="0.15"/>
  <cols>
    <col min="1" max="1" width="15" style="229" customWidth="1"/>
    <col min="2" max="3" width="9.83203125" style="229" customWidth="1"/>
    <col min="4" max="4" width="14.83203125" style="229" customWidth="1"/>
    <col min="5" max="5" width="10.1640625" style="163" bestFit="1" customWidth="1"/>
    <col min="6" max="8" width="8.33203125" style="163" customWidth="1"/>
    <col min="9" max="9" width="8.33203125" style="230" customWidth="1"/>
    <col min="10" max="10" width="8.33203125" style="231" customWidth="1"/>
    <col min="11" max="14" width="8.33203125" style="163" customWidth="1"/>
    <col min="15" max="16" width="11.5" style="163"/>
    <col min="17" max="17" width="12" style="163" bestFit="1" customWidth="1"/>
    <col min="18" max="19" width="11.5" style="163"/>
    <col min="20" max="20" width="12.33203125" style="163" bestFit="1" customWidth="1"/>
    <col min="21" max="16384" width="11.5" style="163"/>
  </cols>
  <sheetData>
    <row r="1" spans="1:15" ht="14" customHeight="1" x14ac:dyDescent="0.15">
      <c r="A1" s="157"/>
      <c r="B1" s="157"/>
      <c r="C1" s="157"/>
      <c r="D1" s="157"/>
      <c r="E1" s="158"/>
      <c r="F1" s="158"/>
      <c r="G1" s="158"/>
      <c r="H1" s="158"/>
      <c r="I1" s="159"/>
      <c r="J1" s="160"/>
      <c r="K1" s="161"/>
      <c r="L1" s="161"/>
      <c r="M1" s="162"/>
      <c r="N1" s="162"/>
    </row>
    <row r="2" spans="1:15" ht="14" customHeight="1" x14ac:dyDescent="0.15">
      <c r="A2" s="164"/>
      <c r="B2" s="165"/>
      <c r="C2" s="165"/>
      <c r="D2" s="162"/>
      <c r="E2" s="162"/>
      <c r="F2" s="159"/>
      <c r="G2" s="160"/>
      <c r="H2" s="158"/>
      <c r="I2" s="159"/>
      <c r="J2" s="160"/>
      <c r="K2" s="158"/>
      <c r="L2" s="158"/>
      <c r="M2" s="162"/>
      <c r="N2" s="162"/>
    </row>
    <row r="3" spans="1:15" ht="14" customHeight="1" x14ac:dyDescent="0.15">
      <c r="A3" s="157"/>
      <c r="B3" s="165"/>
      <c r="C3" s="165"/>
      <c r="D3" s="165"/>
      <c r="E3" s="162"/>
      <c r="F3" s="159"/>
      <c r="G3" s="160"/>
      <c r="H3" s="158"/>
      <c r="I3" s="159"/>
      <c r="J3" s="160"/>
      <c r="K3" s="158"/>
      <c r="L3" s="158"/>
      <c r="M3" s="162"/>
      <c r="N3" s="162"/>
    </row>
    <row r="4" spans="1:15" ht="14" customHeight="1" x14ac:dyDescent="0.15">
      <c r="A4" s="157"/>
      <c r="B4" s="165"/>
      <c r="C4" s="165"/>
      <c r="D4" s="165"/>
      <c r="E4" s="162"/>
      <c r="F4" s="159"/>
      <c r="G4" s="160"/>
      <c r="H4" s="158"/>
      <c r="I4" s="159"/>
      <c r="J4" s="160"/>
      <c r="K4" s="158"/>
      <c r="L4" s="158"/>
      <c r="M4" s="162"/>
      <c r="N4" s="162"/>
    </row>
    <row r="5" spans="1:15" ht="14" customHeight="1" x14ac:dyDescent="0.15">
      <c r="A5" s="157"/>
      <c r="B5" s="165"/>
      <c r="C5" s="165"/>
      <c r="D5" s="165"/>
      <c r="E5" s="162"/>
      <c r="F5" s="159"/>
      <c r="G5" s="160"/>
      <c r="H5" s="158"/>
      <c r="I5" s="159"/>
      <c r="J5" s="160"/>
      <c r="K5" s="158"/>
      <c r="L5" s="158"/>
      <c r="M5" s="162"/>
      <c r="N5" s="162"/>
    </row>
    <row r="6" spans="1:15" ht="14" customHeight="1" x14ac:dyDescent="0.15">
      <c r="A6" s="157"/>
      <c r="B6" s="165"/>
      <c r="C6" s="165"/>
      <c r="D6" s="162"/>
      <c r="E6" s="162"/>
      <c r="F6" s="159"/>
      <c r="G6" s="160"/>
      <c r="H6" s="158"/>
      <c r="I6" s="159"/>
      <c r="J6" s="160"/>
      <c r="K6" s="158"/>
      <c r="L6" s="158"/>
      <c r="M6" s="162"/>
      <c r="N6" s="162"/>
    </row>
    <row r="7" spans="1:15" ht="14" customHeight="1" x14ac:dyDescent="0.2">
      <c r="A7" s="157"/>
      <c r="B7" s="166" t="s">
        <v>137</v>
      </c>
      <c r="C7" s="167" t="s">
        <v>138</v>
      </c>
      <c r="D7" s="166" t="s">
        <v>139</v>
      </c>
      <c r="E7" s="165" t="s">
        <v>140</v>
      </c>
      <c r="F7" s="159"/>
      <c r="G7" s="160"/>
      <c r="H7" s="158"/>
      <c r="I7" s="159"/>
      <c r="J7" s="160"/>
      <c r="K7" s="158"/>
      <c r="L7" s="158"/>
      <c r="M7" s="162"/>
      <c r="N7" s="162"/>
    </row>
    <row r="8" spans="1:15" ht="14" customHeight="1" x14ac:dyDescent="0.15">
      <c r="A8" s="157" t="s">
        <v>0</v>
      </c>
      <c r="B8" s="108"/>
      <c r="C8" s="108"/>
      <c r="D8" s="108"/>
      <c r="E8" s="108"/>
      <c r="F8" s="168">
        <f>B8+C8/60+D8/3600</f>
        <v>0</v>
      </c>
      <c r="G8" s="169">
        <f>RADIANS(F8)</f>
        <v>0</v>
      </c>
      <c r="H8" s="158"/>
      <c r="I8" s="159"/>
      <c r="J8" s="160"/>
      <c r="K8" s="158"/>
      <c r="L8" s="158"/>
      <c r="M8" s="162"/>
      <c r="N8" s="162"/>
    </row>
    <row r="9" spans="1:15" ht="14" customHeight="1" x14ac:dyDescent="0.15">
      <c r="A9" s="157" t="s">
        <v>1</v>
      </c>
      <c r="B9" s="108"/>
      <c r="C9" s="108"/>
      <c r="D9" s="108"/>
      <c r="E9" s="108"/>
      <c r="F9" s="168">
        <f>B9+C9/60+D9/3600</f>
        <v>0</v>
      </c>
      <c r="G9" s="170">
        <f>IF(E9="W",F9/15,-1*F9/15)</f>
        <v>0</v>
      </c>
      <c r="H9" s="171" t="s">
        <v>12</v>
      </c>
      <c r="I9" s="159"/>
      <c r="J9" s="160"/>
      <c r="K9" s="158"/>
      <c r="L9" s="158"/>
      <c r="M9" s="162"/>
      <c r="N9" s="162"/>
    </row>
    <row r="10" spans="1:15" ht="14" customHeight="1" x14ac:dyDescent="0.15">
      <c r="A10" s="157"/>
      <c r="B10" s="158"/>
      <c r="C10" s="158"/>
      <c r="D10" s="158"/>
      <c r="E10" s="158"/>
      <c r="F10" s="159"/>
      <c r="G10" s="160"/>
      <c r="H10" s="158"/>
      <c r="I10" s="159"/>
      <c r="J10" s="160"/>
      <c r="K10" s="158"/>
      <c r="L10" s="158"/>
      <c r="M10" s="162"/>
      <c r="N10" s="162"/>
    </row>
    <row r="11" spans="1:15" ht="14" customHeight="1" x14ac:dyDescent="0.15">
      <c r="A11" s="157" t="s">
        <v>2</v>
      </c>
      <c r="B11" s="172" t="s">
        <v>16</v>
      </c>
      <c r="C11" s="173"/>
      <c r="D11" s="173"/>
      <c r="E11" s="174"/>
      <c r="F11" s="175"/>
      <c r="G11" s="176"/>
      <c r="H11" s="158"/>
      <c r="I11" s="159"/>
      <c r="J11" s="160"/>
      <c r="K11" s="158"/>
      <c r="L11" s="158"/>
      <c r="M11" s="162"/>
      <c r="N11" s="162"/>
    </row>
    <row r="12" spans="1:15" ht="14" customHeight="1" x14ac:dyDescent="0.15">
      <c r="A12" s="157" t="s">
        <v>3</v>
      </c>
      <c r="B12" s="54"/>
      <c r="C12" s="174"/>
      <c r="D12" s="177"/>
      <c r="E12" s="178"/>
      <c r="F12" s="175"/>
      <c r="G12" s="176"/>
      <c r="H12" s="158"/>
      <c r="I12" s="159"/>
      <c r="J12" s="160"/>
      <c r="K12" s="158"/>
      <c r="L12" s="158"/>
      <c r="M12" s="162"/>
      <c r="N12" s="162"/>
    </row>
    <row r="13" spans="1:15" ht="14" customHeight="1" x14ac:dyDescent="0.15">
      <c r="A13" s="164" t="s">
        <v>4</v>
      </c>
      <c r="B13" s="179">
        <v>10</v>
      </c>
      <c r="C13" s="180"/>
      <c r="D13" s="164" t="s">
        <v>5</v>
      </c>
      <c r="E13" s="172">
        <v>10</v>
      </c>
      <c r="F13" s="158"/>
      <c r="G13" s="176"/>
      <c r="H13" s="158"/>
      <c r="I13" s="159"/>
      <c r="J13" s="160"/>
      <c r="K13" s="158"/>
      <c r="L13" s="158"/>
      <c r="M13" s="162"/>
      <c r="N13" s="162"/>
    </row>
    <row r="14" spans="1:15" ht="14" customHeight="1" x14ac:dyDescent="0.15">
      <c r="A14" s="157"/>
      <c r="B14" s="157"/>
      <c r="C14" s="157"/>
      <c r="D14" s="157"/>
      <c r="E14" s="158"/>
      <c r="F14" s="158"/>
      <c r="G14" s="158"/>
      <c r="H14" s="158"/>
      <c r="I14" s="159"/>
      <c r="J14" s="160"/>
      <c r="K14" s="158"/>
      <c r="L14" s="158"/>
      <c r="M14" s="162"/>
      <c r="N14" s="162"/>
    </row>
    <row r="15" spans="1:15" ht="28" x14ac:dyDescent="0.15">
      <c r="A15" s="157" t="s">
        <v>22</v>
      </c>
      <c r="B15" s="157" t="s">
        <v>30</v>
      </c>
      <c r="C15" s="157" t="s">
        <v>31</v>
      </c>
      <c r="D15" s="157"/>
      <c r="E15" s="181" t="s">
        <v>152</v>
      </c>
      <c r="F15" s="181" t="s">
        <v>153</v>
      </c>
      <c r="G15" s="181" t="s">
        <v>6</v>
      </c>
      <c r="H15" s="181" t="s">
        <v>7</v>
      </c>
      <c r="I15" s="181" t="s">
        <v>8</v>
      </c>
      <c r="J15" s="182" t="s">
        <v>9</v>
      </c>
      <c r="K15" s="183" t="s">
        <v>10</v>
      </c>
      <c r="L15" s="184" t="s">
        <v>13</v>
      </c>
      <c r="M15" s="185" t="s">
        <v>134</v>
      </c>
      <c r="N15" s="186" t="s">
        <v>11</v>
      </c>
      <c r="O15" s="187"/>
    </row>
    <row r="16" spans="1:15" ht="14" x14ac:dyDescent="0.15">
      <c r="A16" s="103"/>
      <c r="B16" s="188" t="e">
        <f>INDEX(Stars!$B$2:B201, MATCH(A16,Stars!$A$2:A201,))</f>
        <v>#N/A</v>
      </c>
      <c r="C16" s="188" t="e">
        <f>INDEX(Stars!$C$2:$C$201, MATCH(A16,Stars!$A$2:$A$201,))</f>
        <v>#N/A</v>
      </c>
      <c r="D16" s="189" t="s">
        <v>28</v>
      </c>
      <c r="E16" s="190">
        <f>B12</f>
        <v>0</v>
      </c>
      <c r="F16" s="114"/>
      <c r="G16" s="88"/>
      <c r="H16" s="88"/>
      <c r="I16" s="88"/>
      <c r="J16" s="191" t="e">
        <f>AVERAGE(G16:I16)</f>
        <v>#DIV/0!</v>
      </c>
      <c r="K16" s="192" t="e">
        <f>(J16-J17)</f>
        <v>#DIV/0!</v>
      </c>
      <c r="L16" s="193" t="e">
        <f>'Airmass-V'!D2-(('Airmass-V'!D2-1)*(0.0018161+('Airmass-V'!D2-1)*(0.002875+('Airmass-V'!D2-1)*0.0008083)))</f>
        <v>#N/A</v>
      </c>
      <c r="M16" s="178" t="e">
        <f>N16-INDEX(Stars!$D$1:$D$168, MATCH(A16,Stars!$A$1:$A$168,))</f>
        <v>#DIV/0!</v>
      </c>
      <c r="N16" s="194" t="e">
        <f>-2.5*LOG10(K16)</f>
        <v>#DIV/0!</v>
      </c>
      <c r="O16" s="194"/>
    </row>
    <row r="17" spans="1:15" x14ac:dyDescent="0.15">
      <c r="A17" s="195"/>
      <c r="B17" s="196"/>
      <c r="C17" s="196"/>
      <c r="D17" s="195" t="s">
        <v>29</v>
      </c>
      <c r="E17" s="124">
        <f>E16</f>
        <v>0</v>
      </c>
      <c r="F17" s="115"/>
      <c r="G17" s="97"/>
      <c r="H17" s="97"/>
      <c r="I17" s="97"/>
      <c r="J17" s="191" t="e">
        <f t="shared" ref="J17:J25" si="0">AVERAGE(G17:I17)</f>
        <v>#DIV/0!</v>
      </c>
      <c r="K17" s="197"/>
      <c r="L17" s="193"/>
      <c r="M17" s="198"/>
      <c r="N17" s="194"/>
      <c r="O17" s="194"/>
    </row>
    <row r="18" spans="1:15" ht="14" x14ac:dyDescent="0.15">
      <c r="A18" s="104"/>
      <c r="B18" s="199" t="e">
        <f>INDEX(Stars!$B$2:B203, MATCH(A18,Stars!$A$2:A203,))</f>
        <v>#N/A</v>
      </c>
      <c r="C18" s="199" t="e">
        <f>INDEX(Stars!$C$2:$C$201, MATCH(A18,Stars!$A$2:$A$201,))</f>
        <v>#N/A</v>
      </c>
      <c r="D18" s="200" t="s">
        <v>28</v>
      </c>
      <c r="E18" s="126">
        <f>E17</f>
        <v>0</v>
      </c>
      <c r="F18" s="116"/>
      <c r="G18" s="80"/>
      <c r="H18" s="80"/>
      <c r="I18" s="80"/>
      <c r="J18" s="191" t="e">
        <f t="shared" si="0"/>
        <v>#DIV/0!</v>
      </c>
      <c r="K18" s="197" t="e">
        <f>(J18-J19)</f>
        <v>#DIV/0!</v>
      </c>
      <c r="L18" s="193" t="e">
        <f>'Airmass-V'!D3-(('Airmass-V'!D3-1)*(0.0018161+('Airmass-V'!D3-1)*(0.002875+('Airmass-V'!D3-1)*0.0008083)))</f>
        <v>#N/A</v>
      </c>
      <c r="M18" s="201" t="e">
        <f>N18-INDEX(Stars!$D$1:$D$168, MATCH(A18,Stars!$A$1:$A$168,))</f>
        <v>#DIV/0!</v>
      </c>
      <c r="N18" s="194" t="e">
        <f t="shared" ref="N18:N24" si="1">-2.5*LOG10(K18)</f>
        <v>#DIV/0!</v>
      </c>
      <c r="O18" s="194"/>
    </row>
    <row r="19" spans="1:15" x14ac:dyDescent="0.15">
      <c r="A19" s="202"/>
      <c r="B19" s="203"/>
      <c r="C19" s="203"/>
      <c r="D19" s="200" t="s">
        <v>29</v>
      </c>
      <c r="E19" s="127">
        <f>E18</f>
        <v>0</v>
      </c>
      <c r="F19" s="117"/>
      <c r="G19" s="96"/>
      <c r="H19" s="96"/>
      <c r="I19" s="96"/>
      <c r="J19" s="191" t="e">
        <f t="shared" si="0"/>
        <v>#DIV/0!</v>
      </c>
      <c r="K19" s="197"/>
      <c r="L19" s="193"/>
      <c r="M19" s="198"/>
      <c r="N19" s="194"/>
      <c r="O19" s="194"/>
    </row>
    <row r="20" spans="1:15" ht="14" x14ac:dyDescent="0.15">
      <c r="A20" s="105"/>
      <c r="B20" s="204" t="e">
        <f>INDEX(Stars!$B$2:B205, MATCH(A20,Stars!$A$2:A205,))</f>
        <v>#N/A</v>
      </c>
      <c r="C20" s="204" t="e">
        <f>INDEX(Stars!$C$2:$C$201, MATCH(A20,Stars!$A$2:$A$201,))</f>
        <v>#N/A</v>
      </c>
      <c r="D20" s="205" t="s">
        <v>28</v>
      </c>
      <c r="E20" s="128">
        <f>E19</f>
        <v>0</v>
      </c>
      <c r="F20" s="118"/>
      <c r="G20" s="83"/>
      <c r="H20" s="83"/>
      <c r="I20" s="83"/>
      <c r="J20" s="191" t="e">
        <f t="shared" si="0"/>
        <v>#DIV/0!</v>
      </c>
      <c r="K20" s="197" t="e">
        <f>(J20-J21)</f>
        <v>#DIV/0!</v>
      </c>
      <c r="L20" s="193" t="e">
        <f>'Airmass-V'!D4-(('Airmass-V'!D4-1)*(0.0018161+('Airmass-V'!D4-1)*(0.002875+('Airmass-V'!D4-1)*0.0008083)))</f>
        <v>#N/A</v>
      </c>
      <c r="M20" s="178" t="e">
        <f>N20-INDEX(Stars!$D$1:$D$168, MATCH(A20,Stars!$A$1:$A$168,))</f>
        <v>#DIV/0!</v>
      </c>
      <c r="N20" s="194" t="e">
        <f t="shared" si="1"/>
        <v>#DIV/0!</v>
      </c>
      <c r="O20" s="194"/>
    </row>
    <row r="21" spans="1:15" x14ac:dyDescent="0.15">
      <c r="A21" s="206"/>
      <c r="B21" s="207"/>
      <c r="C21" s="207"/>
      <c r="D21" s="206" t="s">
        <v>29</v>
      </c>
      <c r="E21" s="154">
        <f>E20</f>
        <v>0</v>
      </c>
      <c r="F21" s="119"/>
      <c r="G21" s="95"/>
      <c r="H21" s="95"/>
      <c r="I21" s="95"/>
      <c r="J21" s="191" t="e">
        <f t="shared" si="0"/>
        <v>#DIV/0!</v>
      </c>
      <c r="K21" s="197"/>
      <c r="L21" s="193"/>
      <c r="M21" s="198"/>
      <c r="N21" s="194"/>
      <c r="O21" s="194"/>
    </row>
    <row r="22" spans="1:15" ht="14" x14ac:dyDescent="0.15">
      <c r="A22" s="106"/>
      <c r="B22" s="208" t="e">
        <f>INDEX(Stars!$B$2:B207, MATCH(A22,Stars!$A$2:A207,))</f>
        <v>#N/A</v>
      </c>
      <c r="C22" s="208" t="e">
        <f>INDEX(Stars!$C$2:$C$201, MATCH(A22,Stars!$A$2:$A$201,))</f>
        <v>#N/A</v>
      </c>
      <c r="D22" s="209" t="s">
        <v>28</v>
      </c>
      <c r="E22" s="129">
        <f>E21</f>
        <v>0</v>
      </c>
      <c r="F22" s="120"/>
      <c r="G22" s="86"/>
      <c r="H22" s="86"/>
      <c r="I22" s="86"/>
      <c r="J22" s="191" t="e">
        <f t="shared" si="0"/>
        <v>#DIV/0!</v>
      </c>
      <c r="K22" s="197" t="e">
        <f>(J22-J23)</f>
        <v>#DIV/0!</v>
      </c>
      <c r="L22" s="193" t="e">
        <f>'Airmass-V'!D5-(('Airmass-V'!D5-1)*(0.0018161+('Airmass-V'!D5-1)*(0.002875+('Airmass-V'!D5-1)*0.0008083)))</f>
        <v>#N/A</v>
      </c>
      <c r="M22" s="178" t="e">
        <f>N22-INDEX(Stars!$D$1:$D$168, MATCH(A22,Stars!$A$1:$A$168,))</f>
        <v>#DIV/0!</v>
      </c>
      <c r="N22" s="194" t="e">
        <f t="shared" si="1"/>
        <v>#DIV/0!</v>
      </c>
      <c r="O22" s="194"/>
    </row>
    <row r="23" spans="1:15" x14ac:dyDescent="0.15">
      <c r="A23" s="210"/>
      <c r="B23" s="211"/>
      <c r="C23" s="211"/>
      <c r="D23" s="212" t="s">
        <v>29</v>
      </c>
      <c r="E23" s="130">
        <f>E22</f>
        <v>0</v>
      </c>
      <c r="F23" s="120"/>
      <c r="G23" s="86"/>
      <c r="H23" s="86"/>
      <c r="I23" s="86"/>
      <c r="J23" s="191" t="e">
        <f t="shared" si="0"/>
        <v>#DIV/0!</v>
      </c>
      <c r="K23" s="197"/>
      <c r="L23" s="193"/>
      <c r="M23" s="198"/>
      <c r="N23" s="194"/>
      <c r="O23" s="194"/>
    </row>
    <row r="24" spans="1:15" ht="14" x14ac:dyDescent="0.15">
      <c r="A24" s="107"/>
      <c r="B24" s="213" t="e">
        <f>INDEX(Stars!$B$2:B209, MATCH(A24,Stars!$A$2:A209,))</f>
        <v>#N/A</v>
      </c>
      <c r="C24" s="213" t="e">
        <f>INDEX(Stars!$C$2:$C$201, MATCH(A24,Stars!$A$2:$A$201,))</f>
        <v>#N/A</v>
      </c>
      <c r="D24" s="214" t="s">
        <v>28</v>
      </c>
      <c r="E24" s="131">
        <f>E23</f>
        <v>0</v>
      </c>
      <c r="F24" s="121"/>
      <c r="G24" s="89"/>
      <c r="H24" s="89"/>
      <c r="I24" s="89"/>
      <c r="J24" s="191" t="e">
        <f t="shared" si="0"/>
        <v>#DIV/0!</v>
      </c>
      <c r="K24" s="215" t="e">
        <f>(J24-J25)</f>
        <v>#DIV/0!</v>
      </c>
      <c r="L24" s="193" t="e">
        <f>'Airmass-V'!D6-(('Airmass-V'!D6-1)*(0.0018161+('Airmass-V'!D6-1)*(0.002875+('Airmass-V'!D6-1)*0.0008083)))</f>
        <v>#N/A</v>
      </c>
      <c r="M24" s="178" t="e">
        <f>N24-INDEX(Stars!$D$1:$D$168, MATCH(A24,Stars!$A$1:$A$168,))</f>
        <v>#DIV/0!</v>
      </c>
      <c r="N24" s="216" t="e">
        <f t="shared" si="1"/>
        <v>#DIV/0!</v>
      </c>
      <c r="O24" s="194"/>
    </row>
    <row r="25" spans="1:15" x14ac:dyDescent="0.15">
      <c r="A25" s="217"/>
      <c r="B25" s="218"/>
      <c r="C25" s="219"/>
      <c r="D25" s="220" t="s">
        <v>29</v>
      </c>
      <c r="E25" s="125">
        <f>E24</f>
        <v>0</v>
      </c>
      <c r="F25" s="122"/>
      <c r="G25" s="94"/>
      <c r="H25" s="94"/>
      <c r="I25" s="94"/>
      <c r="J25" s="221" t="e">
        <f t="shared" si="0"/>
        <v>#DIV/0!</v>
      </c>
      <c r="K25" s="222"/>
      <c r="L25" s="223"/>
      <c r="M25" s="224"/>
      <c r="N25" s="225"/>
      <c r="O25" s="160"/>
    </row>
    <row r="26" spans="1:15" x14ac:dyDescent="0.15">
      <c r="A26" s="157"/>
      <c r="B26" s="157"/>
      <c r="C26" s="157"/>
      <c r="D26" s="157"/>
      <c r="E26" s="158"/>
      <c r="F26" s="158"/>
      <c r="G26" s="158"/>
      <c r="H26" s="158"/>
      <c r="I26" s="159"/>
      <c r="J26" s="160"/>
      <c r="K26" s="158"/>
      <c r="L26" s="158"/>
      <c r="M26" s="162"/>
      <c r="N26" s="162"/>
      <c r="O26" s="160"/>
    </row>
    <row r="27" spans="1:15" x14ac:dyDescent="0.15">
      <c r="A27" s="226"/>
      <c r="B27" s="226"/>
      <c r="C27" s="226"/>
      <c r="D27" s="226"/>
      <c r="E27" s="162"/>
      <c r="F27" s="162"/>
      <c r="G27" s="162"/>
      <c r="H27" s="162"/>
      <c r="I27" s="175"/>
      <c r="J27" s="227"/>
      <c r="K27" s="162"/>
      <c r="L27" s="162" t="s">
        <v>161</v>
      </c>
      <c r="M27" s="228" t="e">
        <f>(5*(L16*M16+L18*M18+L20*M20+L22*M22+L24*M24)-SUM(L16:L24)*SUM(M16:M24))/(5*(L16^2+L18^2+L20^2+L22^2+L24^2)-((SUM(L16:L24)^2)))</f>
        <v>#N/A</v>
      </c>
      <c r="N27" s="162"/>
      <c r="O27" s="162"/>
    </row>
    <row r="28" spans="1:15" x14ac:dyDescent="0.15">
      <c r="A28" s="226"/>
      <c r="B28" s="226"/>
      <c r="C28" s="226"/>
      <c r="D28" s="226"/>
      <c r="E28" s="162"/>
      <c r="F28" s="162"/>
      <c r="G28" s="162"/>
      <c r="H28" s="162"/>
      <c r="I28" s="175"/>
      <c r="J28" s="227"/>
      <c r="K28" s="162"/>
      <c r="L28" s="162" t="s">
        <v>162</v>
      </c>
      <c r="M28" s="228" t="e">
        <f>((5*(L16*M16+L18*M18+L20*M20+L22*M22+L24*M24)-SUM(L16:L24)*SUM(M16:M24))/((SQRT((5*(L16^2+L18^2+L20^2+L22^2+L24^2)-(SUM(L16:L24)^2))))*(SQRT((5*(M16^2+M18^2+M20^2+M22^2+M24^2)-((SUM(M16:M24)^2)))))))^2</f>
        <v>#N/A</v>
      </c>
      <c r="N28" s="162"/>
      <c r="O28" s="162"/>
    </row>
    <row r="29" spans="1:15" x14ac:dyDescent="0.15">
      <c r="A29" s="226"/>
      <c r="B29" s="226"/>
      <c r="C29" s="226"/>
      <c r="D29" s="226"/>
      <c r="E29" s="162"/>
      <c r="F29" s="162"/>
      <c r="G29" s="162"/>
      <c r="H29" s="162"/>
      <c r="I29" s="175"/>
      <c r="J29" s="227"/>
      <c r="K29" s="162"/>
      <c r="L29" s="162"/>
      <c r="M29" s="162"/>
      <c r="N29" s="162"/>
      <c r="O29" s="162"/>
    </row>
  </sheetData>
  <sheetProtection sheet="1" selectLockedCells="1"/>
  <pageMargins left="0.78749999999999998" right="0.78749999999999998" top="1.0249999999999999" bottom="1.0249999999999999" header="0.78749999999999998" footer="0.78749999999999998"/>
  <pageSetup paperSize="9" orientation="portrait" useFirstPageNumber="1" horizontalDpi="300" verticalDpi="300"/>
  <headerFooter>
    <oddHeader>&amp;C&amp;A</oddHeader>
    <oddFooter>&amp;CPagina &amp;P</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45"/>
  <sheetViews>
    <sheetView zoomScale="130" zoomScaleNormal="130" zoomScalePageLayoutView="150" workbookViewId="0">
      <selection activeCell="E16" sqref="E16"/>
    </sheetView>
  </sheetViews>
  <sheetFormatPr baseColWidth="10" defaultColWidth="11.5" defaultRowHeight="13" x14ac:dyDescent="0.15"/>
  <cols>
    <col min="1" max="1" width="14.83203125" style="1" customWidth="1"/>
    <col min="2" max="2" width="9.83203125" customWidth="1"/>
    <col min="3" max="3" width="9.6640625" customWidth="1"/>
    <col min="4" max="4" width="14.83203125" customWidth="1"/>
    <col min="5" max="5" width="10.1640625" bestFit="1" customWidth="1"/>
    <col min="6" max="6" width="8.33203125" style="2" customWidth="1"/>
    <col min="7" max="7" width="8.33203125" style="3" customWidth="1"/>
    <col min="8" max="14" width="8.33203125" customWidth="1"/>
    <col min="17" max="17" width="12.33203125" bestFit="1" customWidth="1"/>
  </cols>
  <sheetData>
    <row r="1" spans="1:15" ht="14" customHeight="1" x14ac:dyDescent="0.15">
      <c r="A1" s="57"/>
      <c r="B1" s="30"/>
      <c r="C1" s="30"/>
      <c r="D1" s="30"/>
      <c r="E1" s="30"/>
      <c r="F1" s="21"/>
      <c r="G1" s="58"/>
      <c r="H1" s="30"/>
      <c r="I1" s="30"/>
      <c r="J1" s="30"/>
      <c r="K1" s="30"/>
      <c r="L1" s="30"/>
      <c r="M1" s="30"/>
      <c r="N1" s="30"/>
    </row>
    <row r="2" spans="1:15" ht="14" customHeight="1" x14ac:dyDescent="0.15">
      <c r="A2" s="57"/>
      <c r="B2" s="30"/>
      <c r="C2" s="30"/>
      <c r="D2" s="30"/>
      <c r="E2" s="30"/>
      <c r="F2" s="21"/>
      <c r="G2" s="58"/>
      <c r="H2" s="30"/>
      <c r="I2" s="30"/>
      <c r="J2" s="30"/>
      <c r="K2" s="30"/>
      <c r="L2" s="30"/>
      <c r="M2" s="30"/>
      <c r="N2" s="30"/>
    </row>
    <row r="3" spans="1:15" ht="14" customHeight="1" x14ac:dyDescent="0.15">
      <c r="A3" s="57"/>
      <c r="B3" s="30"/>
      <c r="C3" s="30"/>
      <c r="D3" s="30"/>
      <c r="E3" s="30"/>
      <c r="F3" s="21"/>
      <c r="G3" s="58"/>
      <c r="H3" s="30"/>
      <c r="I3" s="30"/>
      <c r="J3" s="30"/>
      <c r="K3" s="30"/>
      <c r="L3" s="30"/>
      <c r="M3" s="30"/>
      <c r="N3" s="30"/>
    </row>
    <row r="4" spans="1:15" ht="14" customHeight="1" x14ac:dyDescent="0.15">
      <c r="A4" s="57"/>
      <c r="B4" s="30"/>
      <c r="C4" s="30"/>
      <c r="D4" s="30"/>
      <c r="E4" s="30"/>
      <c r="F4" s="21"/>
      <c r="G4" s="58"/>
      <c r="H4" s="30"/>
      <c r="I4" s="30"/>
      <c r="J4" s="30"/>
      <c r="K4" s="30"/>
      <c r="L4" s="30"/>
      <c r="M4" s="30"/>
      <c r="N4" s="30"/>
    </row>
    <row r="5" spans="1:15" ht="14" customHeight="1" x14ac:dyDescent="0.15">
      <c r="A5" s="57"/>
      <c r="B5" s="30"/>
      <c r="C5" s="30"/>
      <c r="D5" s="30"/>
      <c r="E5" s="30"/>
      <c r="F5" s="21"/>
      <c r="G5" s="58"/>
      <c r="H5" s="30"/>
      <c r="I5" s="30"/>
      <c r="J5" s="30"/>
      <c r="K5" s="30"/>
      <c r="L5" s="30"/>
      <c r="M5" s="30"/>
      <c r="N5" s="30"/>
    </row>
    <row r="6" spans="1:15" ht="14" customHeight="1" x14ac:dyDescent="0.15">
      <c r="A6" s="57"/>
      <c r="B6" s="30"/>
      <c r="C6" s="30"/>
      <c r="D6" s="30"/>
      <c r="E6" s="30"/>
      <c r="F6" s="21"/>
      <c r="G6" s="58"/>
      <c r="H6" s="30"/>
      <c r="I6" s="30"/>
      <c r="J6" s="30"/>
      <c r="K6" s="30"/>
      <c r="L6" s="30"/>
      <c r="M6" s="30"/>
      <c r="N6" s="30"/>
    </row>
    <row r="7" spans="1:15" ht="14" customHeight="1" x14ac:dyDescent="0.15">
      <c r="A7" s="57"/>
      <c r="B7" s="30"/>
      <c r="C7" s="30"/>
      <c r="D7" s="30"/>
      <c r="E7" s="30"/>
      <c r="F7" s="21"/>
      <c r="G7" s="58"/>
      <c r="H7" s="30"/>
      <c r="I7" s="30"/>
      <c r="J7" s="30"/>
      <c r="K7" s="30"/>
      <c r="L7" s="30"/>
      <c r="M7" s="30"/>
      <c r="N7" s="30"/>
    </row>
    <row r="8" spans="1:15" ht="14" customHeight="1" x14ac:dyDescent="0.15">
      <c r="A8" s="57"/>
      <c r="B8" s="30"/>
      <c r="C8" s="30"/>
      <c r="D8" s="30"/>
      <c r="E8" s="30"/>
      <c r="F8" s="21"/>
      <c r="G8" s="58"/>
      <c r="H8" s="30"/>
      <c r="I8" s="30"/>
      <c r="J8" s="30"/>
      <c r="K8" s="30"/>
      <c r="L8" s="30"/>
      <c r="M8" s="30"/>
      <c r="N8" s="30"/>
    </row>
    <row r="9" spans="1:15" ht="14" customHeight="1" x14ac:dyDescent="0.15">
      <c r="A9" s="4"/>
      <c r="B9" s="5"/>
      <c r="C9" s="5"/>
      <c r="D9" s="5"/>
      <c r="E9" s="5"/>
      <c r="F9" s="6"/>
      <c r="G9" s="7"/>
      <c r="H9" s="5"/>
      <c r="I9" s="6"/>
      <c r="J9" s="7"/>
      <c r="K9" s="5"/>
      <c r="L9" s="5"/>
      <c r="M9" s="30"/>
      <c r="N9" s="30"/>
    </row>
    <row r="10" spans="1:15" ht="14" customHeight="1" x14ac:dyDescent="0.15">
      <c r="A10" s="4"/>
      <c r="B10" s="31"/>
      <c r="C10" s="8"/>
      <c r="D10" s="8"/>
      <c r="E10" s="9"/>
      <c r="F10" s="10"/>
      <c r="G10" s="11"/>
      <c r="H10" s="5"/>
      <c r="I10" s="6"/>
      <c r="J10" s="7"/>
      <c r="K10" s="5"/>
      <c r="L10" s="5"/>
      <c r="M10" s="30"/>
      <c r="N10" s="24"/>
      <c r="O10" s="20"/>
    </row>
    <row r="11" spans="1:15" ht="14" customHeight="1" x14ac:dyDescent="0.15">
      <c r="A11" s="4" t="s">
        <v>2</v>
      </c>
      <c r="B11" s="31" t="s">
        <v>21</v>
      </c>
      <c r="C11" s="8"/>
      <c r="D11" s="8"/>
      <c r="E11" s="9"/>
      <c r="F11" s="21"/>
      <c r="G11" s="11"/>
      <c r="H11" s="5"/>
      <c r="I11" s="6"/>
      <c r="J11" s="7"/>
      <c r="K11" s="5"/>
      <c r="L11" s="5"/>
      <c r="M11" s="30"/>
      <c r="N11" s="30"/>
    </row>
    <row r="12" spans="1:15" ht="14" customHeight="1" x14ac:dyDescent="0.15">
      <c r="A12" s="4" t="s">
        <v>3</v>
      </c>
      <c r="B12" s="32">
        <f>'Data Entry-V'!B12</f>
        <v>0</v>
      </c>
      <c r="C12" s="9"/>
      <c r="D12" s="12"/>
      <c r="E12" s="16"/>
      <c r="F12" s="21"/>
      <c r="G12" s="11"/>
      <c r="H12" s="5"/>
      <c r="I12" s="6"/>
      <c r="J12" s="7"/>
      <c r="K12" s="5"/>
      <c r="L12" s="5"/>
      <c r="M12" s="30"/>
      <c r="N12" s="30"/>
    </row>
    <row r="13" spans="1:15" ht="14" customHeight="1" x14ac:dyDescent="0.15">
      <c r="A13" s="4" t="s">
        <v>4</v>
      </c>
      <c r="B13" s="33">
        <v>10</v>
      </c>
      <c r="C13" s="9"/>
      <c r="D13" s="4" t="s">
        <v>5</v>
      </c>
      <c r="E13" s="33">
        <f>'Data Entry-V'!E13</f>
        <v>10</v>
      </c>
      <c r="F13" s="5"/>
      <c r="G13" s="11"/>
      <c r="H13" s="5"/>
      <c r="I13" s="6"/>
      <c r="J13" s="7"/>
      <c r="K13" s="5"/>
      <c r="L13" s="5"/>
      <c r="M13" s="30"/>
      <c r="N13" s="30"/>
    </row>
    <row r="14" spans="1:15" ht="14" customHeight="1" x14ac:dyDescent="0.15">
      <c r="A14" s="4"/>
      <c r="B14" s="4"/>
      <c r="C14" s="4"/>
      <c r="D14" s="4"/>
      <c r="E14" s="5"/>
      <c r="F14" s="5"/>
      <c r="G14" s="5"/>
      <c r="H14" s="5"/>
      <c r="I14" s="6"/>
      <c r="J14" s="7"/>
      <c r="K14" s="5"/>
      <c r="L14" s="5"/>
      <c r="M14" s="30"/>
      <c r="N14" s="30"/>
    </row>
    <row r="15" spans="1:15" ht="28" x14ac:dyDescent="0.15">
      <c r="A15" s="4" t="s">
        <v>22</v>
      </c>
      <c r="B15" s="4" t="s">
        <v>30</v>
      </c>
      <c r="C15" s="4" t="s">
        <v>31</v>
      </c>
      <c r="D15" s="4"/>
      <c r="E15" s="55" t="s">
        <v>152</v>
      </c>
      <c r="F15" s="55" t="s">
        <v>153</v>
      </c>
      <c r="G15" s="55" t="s">
        <v>6</v>
      </c>
      <c r="H15" s="55" t="s">
        <v>7</v>
      </c>
      <c r="I15" s="55" t="s">
        <v>8</v>
      </c>
      <c r="J15" s="25" t="s">
        <v>9</v>
      </c>
      <c r="K15" s="26" t="s">
        <v>10</v>
      </c>
      <c r="L15" s="19" t="s">
        <v>13</v>
      </c>
      <c r="M15" s="35" t="s">
        <v>135</v>
      </c>
      <c r="N15" s="36" t="s">
        <v>32</v>
      </c>
      <c r="O15" s="56"/>
    </row>
    <row r="16" spans="1:15" ht="14" x14ac:dyDescent="0.15">
      <c r="A16" s="109">
        <f>'Data Entry-V'!A16</f>
        <v>0</v>
      </c>
      <c r="B16" s="60" t="e">
        <f>'Data Entry-V'!B16</f>
        <v>#N/A</v>
      </c>
      <c r="C16" s="60" t="e">
        <f>'Data Entry-V'!C16</f>
        <v>#N/A</v>
      </c>
      <c r="D16" s="61" t="s">
        <v>28</v>
      </c>
      <c r="E16" s="123">
        <f>B12</f>
        <v>0</v>
      </c>
      <c r="F16" s="114"/>
      <c r="G16" s="88"/>
      <c r="H16" s="88"/>
      <c r="I16" s="88"/>
      <c r="J16" s="59" t="e">
        <f>AVERAGE(G16:I16)</f>
        <v>#DIV/0!</v>
      </c>
      <c r="K16" s="13" t="e">
        <f>(J16-J17)</f>
        <v>#DIV/0!</v>
      </c>
      <c r="L16" s="18" t="e">
        <f>'Airmass-B'!D2-(('Airmass-B'!D2-1)*(0.0018161+('Airmass-B'!D2-1)*(0.002875+('Airmass-B'!D2-1)*0.0008083)))</f>
        <v>#N/A</v>
      </c>
      <c r="M16" s="16" t="e">
        <f>N16-(INDEX(Stars!$D$1:$D$168, MATCH(A16,Stars!$A$1:$A$168,))+INDEX(Stars!$E$1:$E$168, MATCH(A16,Stars!$A$1:$A$168,)))</f>
        <v>#DIV/0!</v>
      </c>
      <c r="N16" s="17" t="e">
        <f>-2.5*LOG10(K16)</f>
        <v>#DIV/0!</v>
      </c>
      <c r="O16" s="17"/>
    </row>
    <row r="17" spans="1:15" x14ac:dyDescent="0.15">
      <c r="A17" s="62"/>
      <c r="B17" s="62"/>
      <c r="C17" s="62"/>
      <c r="D17" s="62" t="s">
        <v>29</v>
      </c>
      <c r="E17" s="136">
        <f>E16</f>
        <v>0</v>
      </c>
      <c r="F17" s="132"/>
      <c r="G17" s="98"/>
      <c r="H17" s="98"/>
      <c r="I17" s="98"/>
      <c r="J17" s="59" t="e">
        <f t="shared" ref="J17:J25" si="0">AVERAGE(G17:I17)</f>
        <v>#DIV/0!</v>
      </c>
      <c r="K17" s="14"/>
      <c r="L17" s="18"/>
      <c r="M17" s="34"/>
      <c r="N17" s="17"/>
      <c r="O17" s="17"/>
    </row>
    <row r="18" spans="1:15" ht="14" x14ac:dyDescent="0.15">
      <c r="A18" s="110">
        <f>'Data Entry-V'!A18</f>
        <v>0</v>
      </c>
      <c r="B18" s="63" t="e">
        <f>'Data Entry-V'!B18</f>
        <v>#N/A</v>
      </c>
      <c r="C18" s="63" t="e">
        <f>'Data Entry-V'!C18</f>
        <v>#N/A</v>
      </c>
      <c r="D18" s="64" t="s">
        <v>28</v>
      </c>
      <c r="E18" s="141">
        <f t="shared" ref="E18:E25" si="1">E17</f>
        <v>0</v>
      </c>
      <c r="F18" s="116"/>
      <c r="G18" s="80"/>
      <c r="H18" s="80"/>
      <c r="I18" s="80"/>
      <c r="J18" s="15" t="e">
        <f t="shared" si="0"/>
        <v>#DIV/0!</v>
      </c>
      <c r="K18" s="14" t="e">
        <f>(J18-J19)</f>
        <v>#DIV/0!</v>
      </c>
      <c r="L18" s="18" t="e">
        <f>'Airmass-B'!D3-(('Airmass-B'!D3-1)*(0.0018161+('Airmass-B'!D3-1)*(0.002875+('Airmass-B'!D3-1)*0.0008083)))</f>
        <v>#N/A</v>
      </c>
      <c r="M18" s="16" t="e">
        <f>N18-(INDEX(Stars!$D$1:$D$168, MATCH(A18,Stars!$A$1:$A$168,))+INDEX(Stars!$E$1:$E$168, MATCH(A18,Stars!$A$1:$A$168,)))</f>
        <v>#DIV/0!</v>
      </c>
      <c r="N18" s="17" t="e">
        <f t="shared" ref="N18:N24" si="2">-2.5*LOG10(K18)</f>
        <v>#DIV/0!</v>
      </c>
      <c r="O18" s="17"/>
    </row>
    <row r="19" spans="1:15" x14ac:dyDescent="0.15">
      <c r="A19" s="65"/>
      <c r="B19" s="65"/>
      <c r="C19" s="65"/>
      <c r="D19" s="65" t="s">
        <v>29</v>
      </c>
      <c r="E19" s="140">
        <f t="shared" si="1"/>
        <v>0</v>
      </c>
      <c r="F19" s="133"/>
      <c r="G19" s="81"/>
      <c r="H19" s="81"/>
      <c r="I19" s="82"/>
      <c r="J19" s="15" t="e">
        <f t="shared" si="0"/>
        <v>#DIV/0!</v>
      </c>
      <c r="K19" s="14"/>
      <c r="L19" s="18"/>
      <c r="M19" s="34"/>
      <c r="N19" s="17"/>
      <c r="O19" s="17"/>
    </row>
    <row r="20" spans="1:15" ht="14" x14ac:dyDescent="0.15">
      <c r="A20" s="111">
        <f>'Data Entry-V'!A20</f>
        <v>0</v>
      </c>
      <c r="B20" s="66" t="e">
        <f>'Data Entry-V'!B20</f>
        <v>#N/A</v>
      </c>
      <c r="C20" s="66" t="e">
        <f>'Data Entry-V'!C20</f>
        <v>#N/A</v>
      </c>
      <c r="D20" s="67" t="s">
        <v>28</v>
      </c>
      <c r="E20" s="142">
        <f t="shared" si="1"/>
        <v>0</v>
      </c>
      <c r="F20" s="118"/>
      <c r="G20" s="83"/>
      <c r="H20" s="83"/>
      <c r="I20" s="83"/>
      <c r="J20" s="15" t="e">
        <f t="shared" si="0"/>
        <v>#DIV/0!</v>
      </c>
      <c r="K20" s="14" t="e">
        <f>(J20-J21)</f>
        <v>#DIV/0!</v>
      </c>
      <c r="L20" s="18" t="e">
        <f>'Airmass-B'!D4-(('Airmass-B'!D4-1)*(0.0018161+('Airmass-B'!D4-1)*(0.002875+('Airmass-B'!D4-1)*0.0008083)))</f>
        <v>#N/A</v>
      </c>
      <c r="M20" s="16" t="e">
        <f>N20-(INDEX(Stars!$D$1:$D$168, MATCH(A20,Stars!$A$1:$A$168,))+INDEX(Stars!$E$1:$E$168, MATCH(A20,Stars!$A$1:$A$168,)))</f>
        <v>#DIV/0!</v>
      </c>
      <c r="N20" s="17" t="e">
        <f t="shared" si="2"/>
        <v>#DIV/0!</v>
      </c>
      <c r="O20" s="17"/>
    </row>
    <row r="21" spans="1:15" x14ac:dyDescent="0.15">
      <c r="A21" s="68"/>
      <c r="B21" s="68"/>
      <c r="C21" s="68"/>
      <c r="D21" s="68" t="s">
        <v>29</v>
      </c>
      <c r="E21" s="139">
        <f t="shared" si="1"/>
        <v>0</v>
      </c>
      <c r="F21" s="134"/>
      <c r="G21" s="84"/>
      <c r="H21" s="84"/>
      <c r="I21" s="85"/>
      <c r="J21" s="15" t="e">
        <f t="shared" si="0"/>
        <v>#DIV/0!</v>
      </c>
      <c r="K21" s="14"/>
      <c r="L21" s="18"/>
      <c r="M21" s="34"/>
      <c r="N21" s="17"/>
      <c r="O21" s="17"/>
    </row>
    <row r="22" spans="1:15" ht="14" x14ac:dyDescent="0.15">
      <c r="A22" s="112">
        <f>'Data Entry-V'!A22</f>
        <v>0</v>
      </c>
      <c r="B22" s="69" t="e">
        <f>'Data Entry-V'!B22</f>
        <v>#N/A</v>
      </c>
      <c r="C22" s="69" t="e">
        <f>'Data Entry-V'!C22</f>
        <v>#N/A</v>
      </c>
      <c r="D22" s="70" t="s">
        <v>28</v>
      </c>
      <c r="E22" s="156">
        <f t="shared" si="1"/>
        <v>0</v>
      </c>
      <c r="F22" s="120"/>
      <c r="G22" s="86"/>
      <c r="H22" s="86"/>
      <c r="I22" s="86"/>
      <c r="J22" s="15" t="e">
        <f t="shared" si="0"/>
        <v>#DIV/0!</v>
      </c>
      <c r="K22" s="14" t="e">
        <f>(J22-J23)</f>
        <v>#DIV/0!</v>
      </c>
      <c r="L22" s="18" t="e">
        <f>'Airmass-B'!D5-(('Airmass-B'!D5-1)*(0.0018161+('Airmass-B'!D5-1)*(0.002875+('Airmass-B'!D5-1)*0.0008083)))</f>
        <v>#N/A</v>
      </c>
      <c r="M22" s="16" t="e">
        <f>N22-(INDEX(Stars!$D$1:$D$168, MATCH(A22,Stars!$A$1:$A$168,))+INDEX(Stars!$E$1:$E$168, MATCH(A22,Stars!$A$1:$A$168,)))</f>
        <v>#DIV/0!</v>
      </c>
      <c r="N22" s="17" t="e">
        <f t="shared" si="2"/>
        <v>#DIV/0!</v>
      </c>
      <c r="O22" s="17"/>
    </row>
    <row r="23" spans="1:15" x14ac:dyDescent="0.15">
      <c r="A23" s="71"/>
      <c r="B23" s="71"/>
      <c r="C23" s="71"/>
      <c r="D23" s="71" t="s">
        <v>29</v>
      </c>
      <c r="E23" s="138">
        <f t="shared" si="1"/>
        <v>0</v>
      </c>
      <c r="F23" s="120"/>
      <c r="G23" s="86"/>
      <c r="H23" s="86"/>
      <c r="I23" s="86"/>
      <c r="J23" s="15" t="e">
        <f t="shared" si="0"/>
        <v>#DIV/0!</v>
      </c>
      <c r="K23" s="14"/>
      <c r="L23" s="18"/>
      <c r="M23" s="34"/>
      <c r="N23" s="17"/>
      <c r="O23" s="17"/>
    </row>
    <row r="24" spans="1:15" ht="14" x14ac:dyDescent="0.15">
      <c r="A24" s="113">
        <f>'Data Entry-V'!A24</f>
        <v>0</v>
      </c>
      <c r="B24" s="72" t="e">
        <f>'Data Entry-V'!B24</f>
        <v>#N/A</v>
      </c>
      <c r="C24" s="72" t="e">
        <f>'Data Entry-V'!C24</f>
        <v>#N/A</v>
      </c>
      <c r="D24" s="73" t="s">
        <v>28</v>
      </c>
      <c r="E24" s="143">
        <f t="shared" si="1"/>
        <v>0</v>
      </c>
      <c r="F24" s="121"/>
      <c r="G24" s="89"/>
      <c r="H24" s="89"/>
      <c r="I24" s="89"/>
      <c r="J24" s="15" t="e">
        <f t="shared" si="0"/>
        <v>#DIV/0!</v>
      </c>
      <c r="K24" s="14" t="e">
        <f>(J24-J25)</f>
        <v>#DIV/0!</v>
      </c>
      <c r="L24" s="18" t="e">
        <f>'Airmass-B'!D6-(('Airmass-B'!D6-1)*(0.0018161+('Airmass-B'!D6-1)*(0.002875+('Airmass-B'!D6-1)*0.0008083)))</f>
        <v>#N/A</v>
      </c>
      <c r="M24" s="16" t="e">
        <f>N24-(INDEX(Stars!$D$1:$D$168, MATCH(A24,Stars!$A$1:$A$168,))+INDEX(Stars!$E$1:$E$168, MATCH(A24,Stars!$A$1:$A$168,)))</f>
        <v>#DIV/0!</v>
      </c>
      <c r="N24" s="17" t="e">
        <f t="shared" si="2"/>
        <v>#DIV/0!</v>
      </c>
      <c r="O24" s="17"/>
    </row>
    <row r="25" spans="1:15" x14ac:dyDescent="0.15">
      <c r="A25" s="74"/>
      <c r="B25" s="74"/>
      <c r="C25" s="74"/>
      <c r="D25" s="74" t="s">
        <v>29</v>
      </c>
      <c r="E25" s="137">
        <f t="shared" si="1"/>
        <v>0</v>
      </c>
      <c r="F25" s="135"/>
      <c r="G25" s="87"/>
      <c r="H25" s="87"/>
      <c r="I25" s="99"/>
      <c r="J25" s="75" t="e">
        <f t="shared" si="0"/>
        <v>#DIV/0!</v>
      </c>
      <c r="K25" s="76"/>
      <c r="L25" s="77"/>
      <c r="M25" s="78"/>
      <c r="N25" s="79"/>
      <c r="O25" s="17"/>
    </row>
    <row r="26" spans="1:15" x14ac:dyDescent="0.15">
      <c r="A26" s="4"/>
      <c r="B26" s="4"/>
      <c r="C26" s="4"/>
      <c r="D26" s="4"/>
      <c r="E26" s="5"/>
      <c r="F26" s="5"/>
      <c r="G26" s="5"/>
      <c r="H26" s="5"/>
      <c r="I26" s="5"/>
      <c r="J26" s="6"/>
      <c r="K26" s="7"/>
      <c r="L26" s="5"/>
      <c r="M26" s="5"/>
      <c r="N26" s="30"/>
      <c r="O26" s="30"/>
    </row>
    <row r="27" spans="1:15" x14ac:dyDescent="0.15">
      <c r="A27" s="30"/>
      <c r="B27" s="30"/>
      <c r="C27" s="30"/>
      <c r="D27" s="30"/>
      <c r="E27" s="30"/>
      <c r="F27" s="30"/>
      <c r="G27" s="30"/>
      <c r="H27" s="30"/>
      <c r="I27" s="30"/>
      <c r="J27" s="30"/>
      <c r="K27" s="30"/>
      <c r="L27" s="30" t="s">
        <v>163</v>
      </c>
      <c r="M27" s="155" t="e">
        <f>(5*(L16*M16+L18*M18+L20*M20+L22*M22+L24*M24)-SUM(L16:L24)*SUM(M16:M24))/(5*(L16^2+L18^2+L20^2+L22^2+L24^2)-((SUM(L16:L24)^2)))</f>
        <v>#N/A</v>
      </c>
      <c r="N27" s="30"/>
      <c r="O27" s="30"/>
    </row>
    <row r="28" spans="1:15" x14ac:dyDescent="0.15">
      <c r="A28" s="30"/>
      <c r="B28" s="30"/>
      <c r="C28" s="30"/>
      <c r="D28" s="30"/>
      <c r="E28" s="30"/>
      <c r="F28" s="30"/>
      <c r="G28" s="30"/>
      <c r="H28" s="30"/>
      <c r="I28" s="30"/>
      <c r="J28" s="30"/>
      <c r="K28" s="30"/>
      <c r="L28" s="30" t="s">
        <v>162</v>
      </c>
      <c r="M28" s="155" t="e">
        <f>((5*(L16*M16+L18*M18+L20*M20+L22*M22+L24*M24)-SUM(L16:L24)*SUM(M16:M24))/((SQRT((5*(L16^2+L18^2+L20^2+L22^2+L24^2)-(SUM(L16:L24)^2))))*(SQRT((5*(M16^2+M18^2+M20^2+M22^2+M24^2)-((SUM(M16:M24)^2)))))))^2</f>
        <v>#N/A</v>
      </c>
      <c r="N28" s="30"/>
      <c r="O28" s="30"/>
    </row>
    <row r="29" spans="1:15" x14ac:dyDescent="0.15">
      <c r="A29" s="30"/>
      <c r="B29" s="30"/>
      <c r="C29" s="30"/>
      <c r="D29" s="30"/>
      <c r="E29" s="30"/>
      <c r="F29" s="30"/>
      <c r="G29" s="30"/>
      <c r="H29" s="30"/>
      <c r="I29" s="30"/>
      <c r="J29" s="30"/>
      <c r="K29" s="30"/>
      <c r="L29" s="30"/>
      <c r="M29" s="30"/>
      <c r="N29" s="30"/>
      <c r="O29" s="30"/>
    </row>
    <row r="30" spans="1:15" x14ac:dyDescent="0.15">
      <c r="A30"/>
      <c r="F30"/>
      <c r="G30"/>
    </row>
    <row r="31" spans="1:15" x14ac:dyDescent="0.15">
      <c r="A31"/>
      <c r="F31"/>
      <c r="G31"/>
    </row>
    <row r="32" spans="1:15" x14ac:dyDescent="0.15">
      <c r="A32"/>
      <c r="F32"/>
      <c r="G32"/>
    </row>
    <row r="33" customFormat="1" x14ac:dyDescent="0.15"/>
    <row r="34" customFormat="1" x14ac:dyDescent="0.15"/>
    <row r="35" customFormat="1" x14ac:dyDescent="0.15"/>
    <row r="36" customFormat="1" x14ac:dyDescent="0.15"/>
    <row r="37" customFormat="1" x14ac:dyDescent="0.15"/>
    <row r="38" customFormat="1" x14ac:dyDescent="0.15"/>
    <row r="39" customFormat="1" x14ac:dyDescent="0.15"/>
    <row r="40" customFormat="1" x14ac:dyDescent="0.15"/>
    <row r="41" customFormat="1" x14ac:dyDescent="0.15"/>
    <row r="42" customFormat="1" x14ac:dyDescent="0.15"/>
    <row r="43" customFormat="1" x14ac:dyDescent="0.15"/>
    <row r="44" customFormat="1" x14ac:dyDescent="0.15"/>
    <row r="45" customFormat="1" x14ac:dyDescent="0.15"/>
    <row r="46" customFormat="1" x14ac:dyDescent="0.15"/>
    <row r="47" customFormat="1" x14ac:dyDescent="0.15"/>
    <row r="48" customFormat="1" x14ac:dyDescent="0.15"/>
    <row r="49" spans="1:7" x14ac:dyDescent="0.15">
      <c r="A49"/>
      <c r="F49"/>
      <c r="G49"/>
    </row>
    <row r="50" spans="1:7" x14ac:dyDescent="0.15">
      <c r="A50"/>
      <c r="F50"/>
      <c r="G50"/>
    </row>
    <row r="51" spans="1:7" x14ac:dyDescent="0.15">
      <c r="A51"/>
      <c r="F51"/>
      <c r="G51"/>
    </row>
    <row r="52" spans="1:7" x14ac:dyDescent="0.15">
      <c r="A52"/>
      <c r="F52"/>
      <c r="G52"/>
    </row>
    <row r="53" spans="1:7" x14ac:dyDescent="0.15">
      <c r="A53"/>
      <c r="F53"/>
      <c r="G53"/>
    </row>
    <row r="54" spans="1:7" x14ac:dyDescent="0.15">
      <c r="A54"/>
      <c r="F54"/>
      <c r="G54"/>
    </row>
    <row r="55" spans="1:7" x14ac:dyDescent="0.15">
      <c r="A55" s="28"/>
      <c r="F55"/>
      <c r="G55"/>
    </row>
    <row r="56" spans="1:7" x14ac:dyDescent="0.15">
      <c r="A56" s="28"/>
      <c r="F56"/>
      <c r="G56"/>
    </row>
    <row r="57" spans="1:7" x14ac:dyDescent="0.15">
      <c r="A57" s="28"/>
      <c r="F57"/>
      <c r="G57"/>
    </row>
    <row r="58" spans="1:7" x14ac:dyDescent="0.15">
      <c r="A58"/>
      <c r="F58"/>
      <c r="G58"/>
    </row>
    <row r="59" spans="1:7" x14ac:dyDescent="0.15">
      <c r="A59"/>
      <c r="F59"/>
      <c r="G59"/>
    </row>
    <row r="60" spans="1:7" x14ac:dyDescent="0.15">
      <c r="A60"/>
      <c r="F60"/>
      <c r="G60"/>
    </row>
    <row r="61" spans="1:7" x14ac:dyDescent="0.15">
      <c r="A61"/>
      <c r="F61"/>
      <c r="G61"/>
    </row>
    <row r="62" spans="1:7" x14ac:dyDescent="0.15">
      <c r="A62"/>
      <c r="F62"/>
      <c r="G62"/>
    </row>
    <row r="63" spans="1:7" x14ac:dyDescent="0.15">
      <c r="A63"/>
      <c r="F63"/>
      <c r="G63"/>
    </row>
    <row r="64" spans="1:7" x14ac:dyDescent="0.15">
      <c r="A64"/>
      <c r="F64"/>
      <c r="G64"/>
    </row>
    <row r="65" customFormat="1" x14ac:dyDescent="0.15"/>
    <row r="66" customFormat="1" x14ac:dyDescent="0.15"/>
    <row r="67" customFormat="1" x14ac:dyDescent="0.15"/>
    <row r="68" customFormat="1" x14ac:dyDescent="0.15"/>
    <row r="69" customFormat="1" x14ac:dyDescent="0.15"/>
    <row r="70" customFormat="1" x14ac:dyDescent="0.15"/>
    <row r="71" customFormat="1" x14ac:dyDescent="0.15"/>
    <row r="72" customFormat="1" x14ac:dyDescent="0.15"/>
    <row r="73" customFormat="1" x14ac:dyDescent="0.15"/>
    <row r="74" customFormat="1" x14ac:dyDescent="0.15"/>
    <row r="75" customFormat="1" x14ac:dyDescent="0.15"/>
    <row r="76" customFormat="1" x14ac:dyDescent="0.15"/>
    <row r="77" customFormat="1" x14ac:dyDescent="0.15"/>
    <row r="78" customFormat="1" x14ac:dyDescent="0.15"/>
    <row r="79" customFormat="1" x14ac:dyDescent="0.15"/>
    <row r="80" customFormat="1" x14ac:dyDescent="0.15"/>
    <row r="81" spans="1:7" x14ac:dyDescent="0.15">
      <c r="A81"/>
      <c r="F81"/>
      <c r="G81"/>
    </row>
    <row r="82" spans="1:7" x14ac:dyDescent="0.15">
      <c r="A82"/>
      <c r="F82"/>
      <c r="G82"/>
    </row>
    <row r="83" spans="1:7" x14ac:dyDescent="0.15">
      <c r="A83" s="28"/>
      <c r="F83"/>
      <c r="G83"/>
    </row>
    <row r="84" spans="1:7" x14ac:dyDescent="0.15">
      <c r="A84" s="28"/>
      <c r="F84"/>
      <c r="G84"/>
    </row>
    <row r="85" spans="1:7" x14ac:dyDescent="0.15">
      <c r="A85" s="28"/>
      <c r="F85"/>
      <c r="G85"/>
    </row>
    <row r="86" spans="1:7" x14ac:dyDescent="0.15">
      <c r="A86"/>
      <c r="F86"/>
      <c r="G86"/>
    </row>
    <row r="87" spans="1:7" x14ac:dyDescent="0.15">
      <c r="A87"/>
      <c r="F87"/>
      <c r="G87"/>
    </row>
    <row r="88" spans="1:7" x14ac:dyDescent="0.15">
      <c r="A88"/>
      <c r="F88"/>
      <c r="G88"/>
    </row>
    <row r="89" spans="1:7" x14ac:dyDescent="0.15">
      <c r="A89"/>
      <c r="F89"/>
      <c r="G89"/>
    </row>
    <row r="90" spans="1:7" x14ac:dyDescent="0.15">
      <c r="A90"/>
      <c r="F90"/>
      <c r="G90"/>
    </row>
    <row r="91" spans="1:7" x14ac:dyDescent="0.15">
      <c r="A91"/>
      <c r="F91"/>
      <c r="G91"/>
    </row>
    <row r="92" spans="1:7" x14ac:dyDescent="0.15">
      <c r="A92"/>
      <c r="F92"/>
      <c r="G92"/>
    </row>
    <row r="93" spans="1:7" x14ac:dyDescent="0.15">
      <c r="A93"/>
      <c r="F93"/>
      <c r="G93"/>
    </row>
    <row r="94" spans="1:7" x14ac:dyDescent="0.15">
      <c r="A94"/>
      <c r="F94"/>
      <c r="G94"/>
    </row>
    <row r="95" spans="1:7" x14ac:dyDescent="0.15">
      <c r="A95"/>
      <c r="F95"/>
      <c r="G95"/>
    </row>
    <row r="96" spans="1:7" x14ac:dyDescent="0.15">
      <c r="A96"/>
      <c r="F96"/>
      <c r="G96"/>
    </row>
    <row r="97" customFormat="1" x14ac:dyDescent="0.15"/>
    <row r="98" customFormat="1" x14ac:dyDescent="0.15"/>
    <row r="99" customFormat="1" x14ac:dyDescent="0.15"/>
    <row r="100" customFormat="1" x14ac:dyDescent="0.15"/>
    <row r="101" customFormat="1" x14ac:dyDescent="0.15"/>
    <row r="102" customFormat="1" x14ac:dyDescent="0.15"/>
    <row r="103" customFormat="1" x14ac:dyDescent="0.15"/>
    <row r="104" customFormat="1" x14ac:dyDescent="0.15"/>
    <row r="105" customFormat="1" x14ac:dyDescent="0.15"/>
    <row r="106" customFormat="1" x14ac:dyDescent="0.15"/>
    <row r="107" customFormat="1" x14ac:dyDescent="0.15"/>
    <row r="108" customFormat="1" x14ac:dyDescent="0.15"/>
    <row r="109" customFormat="1" x14ac:dyDescent="0.15"/>
    <row r="110" customFormat="1" x14ac:dyDescent="0.15"/>
    <row r="111" customFormat="1" x14ac:dyDescent="0.15"/>
    <row r="112" customFormat="1" x14ac:dyDescent="0.15"/>
    <row r="113" spans="1:7" x14ac:dyDescent="0.15">
      <c r="A113" s="28"/>
      <c r="F113"/>
      <c r="G113"/>
    </row>
    <row r="114" spans="1:7" x14ac:dyDescent="0.15">
      <c r="A114" s="28"/>
      <c r="F114"/>
      <c r="G114"/>
    </row>
    <row r="115" spans="1:7" x14ac:dyDescent="0.15">
      <c r="A115" s="28"/>
      <c r="F115"/>
      <c r="G115"/>
    </row>
    <row r="116" spans="1:7" x14ac:dyDescent="0.15">
      <c r="A116"/>
      <c r="F116"/>
      <c r="G116"/>
    </row>
    <row r="117" spans="1:7" x14ac:dyDescent="0.15">
      <c r="A117"/>
      <c r="F117"/>
      <c r="G117"/>
    </row>
    <row r="118" spans="1:7" x14ac:dyDescent="0.15">
      <c r="A118"/>
      <c r="F118"/>
      <c r="G118"/>
    </row>
    <row r="119" spans="1:7" x14ac:dyDescent="0.15">
      <c r="A119"/>
      <c r="F119"/>
      <c r="G119"/>
    </row>
    <row r="120" spans="1:7" x14ac:dyDescent="0.15">
      <c r="A120"/>
      <c r="F120"/>
      <c r="G120"/>
    </row>
    <row r="121" spans="1:7" x14ac:dyDescent="0.15">
      <c r="A121"/>
      <c r="F121"/>
      <c r="G121"/>
    </row>
    <row r="122" spans="1:7" x14ac:dyDescent="0.15">
      <c r="A122"/>
      <c r="F122"/>
      <c r="G122"/>
    </row>
    <row r="123" spans="1:7" x14ac:dyDescent="0.15">
      <c r="A123"/>
      <c r="F123"/>
      <c r="G123"/>
    </row>
    <row r="124" spans="1:7" x14ac:dyDescent="0.15">
      <c r="A124"/>
      <c r="F124"/>
      <c r="G124"/>
    </row>
    <row r="125" spans="1:7" x14ac:dyDescent="0.15">
      <c r="A125"/>
      <c r="F125"/>
      <c r="G125"/>
    </row>
    <row r="126" spans="1:7" x14ac:dyDescent="0.15">
      <c r="A126"/>
      <c r="F126"/>
      <c r="G126"/>
    </row>
    <row r="127" spans="1:7" x14ac:dyDescent="0.15">
      <c r="A127"/>
      <c r="F127"/>
      <c r="G127"/>
    </row>
    <row r="128" spans="1:7" x14ac:dyDescent="0.15">
      <c r="A128"/>
      <c r="F128"/>
      <c r="G128"/>
    </row>
    <row r="129" spans="1:14" x14ac:dyDescent="0.15">
      <c r="A129"/>
      <c r="F129"/>
      <c r="G129"/>
    </row>
    <row r="130" spans="1:14" x14ac:dyDescent="0.15">
      <c r="A130"/>
      <c r="F130"/>
      <c r="G130"/>
    </row>
    <row r="131" spans="1:14" x14ac:dyDescent="0.15">
      <c r="A131"/>
      <c r="F131"/>
      <c r="G131"/>
    </row>
    <row r="132" spans="1:14" x14ac:dyDescent="0.15">
      <c r="A132"/>
      <c r="F132"/>
      <c r="G132"/>
    </row>
    <row r="133" spans="1:14" x14ac:dyDescent="0.15">
      <c r="A133"/>
      <c r="F133"/>
      <c r="G133"/>
    </row>
    <row r="134" spans="1:14" x14ac:dyDescent="0.15">
      <c r="A134"/>
      <c r="F134"/>
      <c r="G134"/>
    </row>
    <row r="135" spans="1:14" x14ac:dyDescent="0.15">
      <c r="A135"/>
      <c r="F135"/>
      <c r="G135"/>
    </row>
    <row r="136" spans="1:14" x14ac:dyDescent="0.15">
      <c r="A136"/>
      <c r="F136"/>
      <c r="G136"/>
    </row>
    <row r="137" spans="1:14" x14ac:dyDescent="0.15">
      <c r="A137"/>
      <c r="F137"/>
      <c r="G137"/>
    </row>
    <row r="143" spans="1:14" x14ac:dyDescent="0.15">
      <c r="N143" s="28"/>
    </row>
    <row r="144" spans="1:14" x14ac:dyDescent="0.15">
      <c r="N144" s="28"/>
    </row>
    <row r="145" spans="14:14" x14ac:dyDescent="0.15">
      <c r="N145" s="28"/>
    </row>
  </sheetData>
  <sheetProtection sheet="1" selectLockedCells="1"/>
  <pageMargins left="0.78749999999999998" right="0.78749999999999998" top="1.0249999999999999" bottom="1.0249999999999999" header="0.78749999999999998" footer="0.78749999999999998"/>
  <pageSetup paperSize="9" orientation="portrait" useFirstPageNumber="1" horizontalDpi="300" verticalDpi="300"/>
  <headerFooter>
    <oddHeader>&amp;C&amp;A</oddHeader>
    <oddFooter>&amp;CPagina &amp;P</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02"/>
  <sheetViews>
    <sheetView zoomScaleNormal="120" zoomScalePageLayoutView="150" workbookViewId="0">
      <pane ySplit="1" topLeftCell="A2" activePane="bottomLeft" state="frozen"/>
      <selection pane="bottomLeft" activeCell="U3" sqref="U3"/>
    </sheetView>
  </sheetViews>
  <sheetFormatPr baseColWidth="10" defaultRowHeight="16" x14ac:dyDescent="0.2"/>
  <cols>
    <col min="1" max="1" width="10.83203125" style="38" customWidth="1"/>
    <col min="2" max="2" width="13.33203125" style="37" bestFit="1" customWidth="1"/>
    <col min="3" max="3" width="13.6640625" style="37" bestFit="1" customWidth="1"/>
    <col min="4" max="4" width="5.1640625" style="40" bestFit="1" customWidth="1"/>
    <col min="5" max="6" width="5.83203125" style="40" bestFit="1" customWidth="1"/>
    <col min="7" max="7" width="14.5" style="37" hidden="1" customWidth="1"/>
    <col min="8" max="8" width="8.6640625" style="37" hidden="1" customWidth="1"/>
    <col min="9" max="9" width="9.33203125" style="37" hidden="1" customWidth="1"/>
    <col min="10" max="10" width="10.5" style="37" hidden="1" customWidth="1"/>
    <col min="11" max="11" width="13" style="37" hidden="1" customWidth="1"/>
    <col min="12" max="12" width="11.1640625" style="37" hidden="1" customWidth="1"/>
    <col min="13" max="13" width="13.1640625" style="37" hidden="1" customWidth="1"/>
    <col min="14" max="14" width="10.5" style="37" hidden="1" customWidth="1"/>
    <col min="15" max="15" width="9" style="151" bestFit="1" customWidth="1"/>
    <col min="16" max="16" width="8.5" style="151" bestFit="1" customWidth="1"/>
    <col min="17" max="17" width="10.5" style="37" hidden="1" customWidth="1"/>
    <col min="18" max="18" width="9" style="37" customWidth="1"/>
    <col min="19" max="19" width="3.83203125" style="92" customWidth="1"/>
    <col min="20" max="20" width="42.6640625" style="92" bestFit="1" customWidth="1"/>
    <col min="21" max="21" width="11.83203125" style="92" bestFit="1" customWidth="1"/>
    <col min="22" max="22" width="3.83203125" style="92" customWidth="1"/>
    <col min="23" max="16384" width="10.83203125" style="39"/>
  </cols>
  <sheetData>
    <row r="1" spans="1:22" x14ac:dyDescent="0.2">
      <c r="A1" s="43" t="s">
        <v>22</v>
      </c>
      <c r="B1" s="44" t="s">
        <v>14</v>
      </c>
      <c r="C1" s="44" t="s">
        <v>15</v>
      </c>
      <c r="D1" s="45" t="s">
        <v>16</v>
      </c>
      <c r="E1" s="45" t="s">
        <v>37</v>
      </c>
      <c r="F1" s="45" t="s">
        <v>38</v>
      </c>
      <c r="G1" s="41" t="s">
        <v>17</v>
      </c>
      <c r="H1" s="41" t="s">
        <v>18</v>
      </c>
      <c r="I1" s="41" t="s">
        <v>143</v>
      </c>
      <c r="J1" s="41" t="s">
        <v>142</v>
      </c>
      <c r="K1" s="41" t="s">
        <v>144</v>
      </c>
      <c r="L1" s="41" t="s">
        <v>148</v>
      </c>
      <c r="M1" s="41" t="s">
        <v>149</v>
      </c>
      <c r="N1" s="41" t="s">
        <v>147</v>
      </c>
      <c r="O1" s="146" t="s">
        <v>141</v>
      </c>
      <c r="P1" s="146" t="s">
        <v>19</v>
      </c>
      <c r="Q1" s="41" t="s">
        <v>20</v>
      </c>
      <c r="R1" s="44" t="s">
        <v>13</v>
      </c>
      <c r="S1" s="90"/>
      <c r="T1" s="90"/>
      <c r="U1" s="90"/>
      <c r="V1" s="90"/>
    </row>
    <row r="2" spans="1:22" x14ac:dyDescent="0.2">
      <c r="A2" s="43" t="s">
        <v>49</v>
      </c>
      <c r="B2" s="46">
        <v>0.2848</v>
      </c>
      <c r="C2" s="46">
        <v>38.6815</v>
      </c>
      <c r="D2" s="47">
        <v>4.6100000000000003</v>
      </c>
      <c r="E2" s="47">
        <v>0.06</v>
      </c>
      <c r="F2" s="47">
        <v>7.0000000000000007E-2</v>
      </c>
      <c r="G2" s="37">
        <f t="shared" ref="G2:G33" si="0">IF($U$3&gt;0.5,($U$2+2415019)+((((HOUR($U$3)*60)+MINUTE($U$3))/1440+DAY($U$2))-0.5)-DAY($U$2),($U$2+2415019)+((((HOUR($U$3)*60)+MINUTE($U$3))/1440+DAY($U$2))-0.5)-DAY($U$2)+1)</f>
        <v>2415019.5</v>
      </c>
      <c r="H2" s="37">
        <f>6.6925-'Data Entry-V'!$G$9+(24*((1.0027379093*(G2-2447892.5))-FLOOR(1.0027379093*(G2-2447892.5),1)))-(ROUNDDOWN(((6.6925-'Data Entry-V'!$G$9+(24*((1.0027379093*(G2-2447892.5))-FLOOR(1.0027379093*(G2-2447892.5),1))))/24),0)*24)</f>
        <v>6.6134819464012971</v>
      </c>
      <c r="I2" s="37">
        <f>H2-B2</f>
        <v>6.3286819464012973</v>
      </c>
      <c r="J2" s="37">
        <f>I2*15</f>
        <v>94.930229196019454</v>
      </c>
      <c r="K2" s="37">
        <f>IF(J2&lt;0,J2+360,J2)</f>
        <v>94.930229196019454</v>
      </c>
      <c r="L2" s="37">
        <f>-SIN(RADIANS(K2))</f>
        <v>-0.99630009163801447</v>
      </c>
      <c r="M2" s="37">
        <f>TAN(RADIANS(C2))*COS(RADIANS('Data Entry-V'!$F$8))-SIN(RADIANS('Data Entry-V'!$F$8))*COS(RADIANS(K2))</f>
        <v>0.80062107965257556</v>
      </c>
      <c r="N2" s="37">
        <f>DEGREES(ATAN2(M2,L2))</f>
        <v>-51.214839470672871</v>
      </c>
      <c r="O2" s="147">
        <f>IF(N2&lt;0,N2+360,N2)</f>
        <v>308.78516052932713</v>
      </c>
      <c r="P2" s="149">
        <f>DEGREES(ASIN(COS(RADIANS(K2))*COS(RADIANS(C2))*COS(RADIANS('Data Entry-V'!$F$8))+SIN(RADIANS(C2))*SIN(RADIANS('Data Entry-V'!$F$8))))</f>
        <v>-3.8468375877603349</v>
      </c>
      <c r="Q2" s="37">
        <f t="shared" ref="Q2:Q33" si="1">1/(COS(2*ATAN(1)-(P2*(ATAN(1)/45))))</f>
        <v>-14.905450764393303</v>
      </c>
      <c r="R2" s="37" t="str">
        <f t="shared" ref="R2:R33" si="2">IF(P2&gt;10,Q2-((Q2-1)*(0.0018161+(Q2-1)*(0.002875+(Q2-1)*0.0008083))),"")</f>
        <v/>
      </c>
      <c r="S2" s="90"/>
      <c r="T2" s="93" t="s">
        <v>127</v>
      </c>
      <c r="U2" s="100"/>
      <c r="V2" s="90"/>
    </row>
    <row r="3" spans="1:22" x14ac:dyDescent="0.2">
      <c r="A3" s="43" t="s">
        <v>51</v>
      </c>
      <c r="B3" s="46">
        <v>0.3054</v>
      </c>
      <c r="C3" s="46">
        <v>36.784999999999997</v>
      </c>
      <c r="D3" s="47">
        <v>4.5</v>
      </c>
      <c r="E3" s="47">
        <v>0.06</v>
      </c>
      <c r="F3" s="47">
        <v>7.0000000000000007E-2</v>
      </c>
      <c r="G3" s="37">
        <f t="shared" si="0"/>
        <v>2415019.5</v>
      </c>
      <c r="H3" s="37">
        <f>6.6925-'Data Entry-V'!$G$9+(24*((1.0027379093*(G3-2447892.5))-FLOOR(1.0027379093*(G3-2447892.5),1)))-(ROUNDDOWN(((6.6925-'Data Entry-V'!$G$9+(24*((1.0027379093*(G3-2447892.5))-FLOOR(1.0027379093*(G3-2447892.5),1))))/24),0)*24)</f>
        <v>6.6134819464012971</v>
      </c>
      <c r="I3" s="37">
        <f>H3-B3</f>
        <v>6.3080819464012974</v>
      </c>
      <c r="J3" s="37">
        <f t="shared" ref="J3:J66" si="3">I3*15</f>
        <v>94.621229196019456</v>
      </c>
      <c r="K3" s="37">
        <f t="shared" ref="K3:K66" si="4">IF(J3&lt;0,J3+360,J3)</f>
        <v>94.621229196019456</v>
      </c>
      <c r="L3" s="37">
        <f t="shared" ref="L3:L66" si="5">-SIN(RADIANS(K3))</f>
        <v>-0.99674909478096807</v>
      </c>
      <c r="M3" s="37">
        <f>TAN(RADIANS(C3))*COS(RADIANS('Data Entry-V'!$F$8))-SIN(RADIANS('Data Entry-V'!$F$8))*COS(RADIANS(K3))</f>
        <v>0.74768734424315342</v>
      </c>
      <c r="N3" s="37">
        <f t="shared" ref="N3:N66" si="6">DEGREES(ATAN2(M3,L3))</f>
        <v>-53.125484774890602</v>
      </c>
      <c r="O3" s="147">
        <f t="shared" ref="O3:O66" si="7">IF(N3&lt;0,N3+360,N3)</f>
        <v>306.87451522510941</v>
      </c>
      <c r="P3" s="149">
        <f>DEGREES(ASIN(COS(RADIANS(K3))*COS(RADIANS(C3))*COS(RADIANS('Data Entry-V'!$F$8))+SIN(RADIANS(C3))*SIN(RADIANS('Data Entry-V'!$F$8))))</f>
        <v>-3.6996466424714201</v>
      </c>
      <c r="Q3" s="37">
        <f t="shared" si="1"/>
        <v>-15.49759191067796</v>
      </c>
      <c r="R3" s="37" t="str">
        <f t="shared" si="2"/>
        <v/>
      </c>
      <c r="S3" s="90"/>
      <c r="T3" s="93" t="s">
        <v>128</v>
      </c>
      <c r="U3" s="101"/>
      <c r="V3" s="90"/>
    </row>
    <row r="4" spans="1:22" x14ac:dyDescent="0.2">
      <c r="A4" s="43" t="s">
        <v>52</v>
      </c>
      <c r="B4" s="46">
        <v>1.1850000000000001</v>
      </c>
      <c r="C4" s="46">
        <v>55.15</v>
      </c>
      <c r="D4" s="47">
        <v>4.3600000000000003</v>
      </c>
      <c r="E4" s="47">
        <v>0.17</v>
      </c>
      <c r="F4" s="47">
        <v>0.12</v>
      </c>
      <c r="G4" s="37">
        <f t="shared" si="0"/>
        <v>2415019.5</v>
      </c>
      <c r="H4" s="37">
        <f>6.6925-'Data Entry-V'!$G$9+(24*((1.0027379093*(G4-2447892.5))-FLOOR(1.0027379093*(G4-2447892.5),1)))-(ROUNDDOWN(((6.6925-'Data Entry-V'!$G$9+(24*((1.0027379093*(G4-2447892.5))-FLOOR(1.0027379093*(G4-2447892.5),1))))/24),0)*24)</f>
        <v>6.6134819464012971</v>
      </c>
      <c r="I4" s="37">
        <f>H4-B4</f>
        <v>5.4284819464012966</v>
      </c>
      <c r="J4" s="37">
        <f t="shared" si="3"/>
        <v>81.427229196019454</v>
      </c>
      <c r="K4" s="37">
        <f t="shared" si="4"/>
        <v>81.427229196019454</v>
      </c>
      <c r="L4" s="37">
        <f t="shared" si="5"/>
        <v>-0.98882733443342608</v>
      </c>
      <c r="M4" s="37">
        <f>TAN(RADIANS(C4))*COS(RADIANS('Data Entry-V'!$F$8))-SIN(RADIANS('Data Entry-V'!$F$8))*COS(RADIANS(K4))</f>
        <v>1.4361355613291495</v>
      </c>
      <c r="N4" s="37">
        <f t="shared" si="6"/>
        <v>-34.548710393437794</v>
      </c>
      <c r="O4" s="147">
        <f t="shared" si="7"/>
        <v>325.45128960656223</v>
      </c>
      <c r="P4" s="149">
        <f>DEGREES(ASIN(COS(RADIANS(K4))*COS(RADIANS(C4))*COS(RADIANS('Data Entry-V'!$F$8))+SIN(RADIANS(C4))*SIN(RADIANS('Data Entry-V'!$F$8))))</f>
        <v>4.8864015229090114</v>
      </c>
      <c r="Q4" s="37">
        <f t="shared" si="1"/>
        <v>11.739783022388048</v>
      </c>
      <c r="R4" s="37" t="str">
        <f t="shared" si="2"/>
        <v/>
      </c>
      <c r="S4" s="90"/>
      <c r="T4" s="90"/>
      <c r="U4" s="90"/>
      <c r="V4" s="90"/>
    </row>
    <row r="5" spans="1:22" x14ac:dyDescent="0.2">
      <c r="A5" s="43" t="s">
        <v>53</v>
      </c>
      <c r="B5" s="46">
        <v>1.2966</v>
      </c>
      <c r="C5" s="46">
        <v>3.6143000000000001</v>
      </c>
      <c r="D5" s="47">
        <v>5.15</v>
      </c>
      <c r="E5" s="47">
        <v>7.0000000000000007E-2</v>
      </c>
      <c r="F5" s="47">
        <v>0.1</v>
      </c>
      <c r="G5" s="37">
        <f t="shared" si="0"/>
        <v>2415019.5</v>
      </c>
      <c r="H5" s="37">
        <f>6.6925-'Data Entry-V'!$G$9+(24*((1.0027379093*(G5-2447892.5))-FLOOR(1.0027379093*(G5-2447892.5),1)))-(ROUNDDOWN(((6.6925-'Data Entry-V'!$G$9+(24*((1.0027379093*(G5-2447892.5))-FLOOR(1.0027379093*(G5-2447892.5),1))))/24),0)*24)</f>
        <v>6.6134819464012971</v>
      </c>
      <c r="I5" s="37">
        <f>H5-B5</f>
        <v>5.3168819464012973</v>
      </c>
      <c r="J5" s="37">
        <f t="shared" si="3"/>
        <v>79.753229196019461</v>
      </c>
      <c r="K5" s="37">
        <f t="shared" si="4"/>
        <v>79.753229196019461</v>
      </c>
      <c r="L5" s="37">
        <f t="shared" si="5"/>
        <v>-0.98405072499990542</v>
      </c>
      <c r="M5" s="37">
        <f>TAN(RADIANS(C5))*COS(RADIANS('Data Entry-V'!$F$8))-SIN(RADIANS('Data Entry-V'!$F$8))*COS(RADIANS(K5))</f>
        <v>6.316524118611018E-2</v>
      </c>
      <c r="N5" s="37">
        <f t="shared" si="6"/>
        <v>-86.32727929303023</v>
      </c>
      <c r="O5" s="147">
        <f t="shared" si="7"/>
        <v>273.67272070696976</v>
      </c>
      <c r="P5" s="149">
        <f>DEGREES(ASIN(COS(RADIANS(K5))*COS(RADIANS(C5))*COS(RADIANS('Data Entry-V'!$F$8))+SIN(RADIANS(C5))*SIN(RADIANS('Data Entry-V'!$F$8))))</f>
        <v>10.226170813599346</v>
      </c>
      <c r="Q5" s="37">
        <f t="shared" si="1"/>
        <v>5.6327153133648347</v>
      </c>
      <c r="R5" s="37">
        <f t="shared" si="2"/>
        <v>5.4822311345934613</v>
      </c>
      <c r="S5" s="90"/>
      <c r="T5" s="90"/>
      <c r="U5" s="90"/>
      <c r="V5" s="90"/>
    </row>
    <row r="6" spans="1:22" x14ac:dyDescent="0.2">
      <c r="A6" s="43" t="s">
        <v>54</v>
      </c>
      <c r="B6" s="46">
        <v>1.3245</v>
      </c>
      <c r="C6" s="46">
        <v>27.263999999999999</v>
      </c>
      <c r="D6" s="47">
        <v>4.76</v>
      </c>
      <c r="E6" s="47">
        <v>0.03</v>
      </c>
      <c r="F6" s="47">
        <v>0.1</v>
      </c>
      <c r="G6" s="37">
        <f t="shared" si="0"/>
        <v>2415019.5</v>
      </c>
      <c r="H6" s="37">
        <f>6.6925-'Data Entry-V'!$G$9+(24*((1.0027379093*(G6-2447892.5))-FLOOR(1.0027379093*(G6-2447892.5),1)))-(ROUNDDOWN(((6.6925-'Data Entry-V'!$G$9+(24*((1.0027379093*(G6-2447892.5))-FLOOR(1.0027379093*(G6-2447892.5),1))))/24),0)*24)</f>
        <v>6.6134819464012971</v>
      </c>
      <c r="I6" s="37">
        <f>H6-B6</f>
        <v>5.2889819464012966</v>
      </c>
      <c r="J6" s="37">
        <f t="shared" si="3"/>
        <v>79.334729196019453</v>
      </c>
      <c r="K6" s="37">
        <f t="shared" si="4"/>
        <v>79.334729196019453</v>
      </c>
      <c r="L6" s="37">
        <f t="shared" si="5"/>
        <v>-0.9827251557712896</v>
      </c>
      <c r="M6" s="37">
        <f>TAN(RADIANS(C6))*COS(RADIANS('Data Entry-V'!$F$8))-SIN(RADIANS('Data Entry-V'!$F$8))*COS(RADIANS(K6))</f>
        <v>0.51534304349938687</v>
      </c>
      <c r="N6" s="37">
        <f t="shared" si="6"/>
        <v>-62.327393188744303</v>
      </c>
      <c r="O6" s="147">
        <f t="shared" si="7"/>
        <v>297.67260681125572</v>
      </c>
      <c r="P6" s="149">
        <f>DEGREES(ASIN(COS(RADIANS(K6))*COS(RADIANS(C6))*COS(RADIANS('Data Entry-V'!$F$8))+SIN(RADIANS(C6))*SIN(RADIANS('Data Entry-V'!$F$8))))</f>
        <v>9.4688033476439983</v>
      </c>
      <c r="Q6" s="37">
        <f t="shared" si="1"/>
        <v>6.0786369778936127</v>
      </c>
      <c r="R6" s="37" t="str">
        <f t="shared" si="2"/>
        <v/>
      </c>
      <c r="S6" s="90"/>
      <c r="T6" s="90"/>
      <c r="U6" s="90"/>
      <c r="V6" s="90"/>
    </row>
    <row r="7" spans="1:22" x14ac:dyDescent="0.2">
      <c r="A7" s="43" t="s">
        <v>55</v>
      </c>
      <c r="B7" s="46">
        <v>2.0571999999999999</v>
      </c>
      <c r="C7" s="46">
        <v>72.421400000000006</v>
      </c>
      <c r="D7" s="47">
        <v>3.98</v>
      </c>
      <c r="E7" s="47">
        <v>-0.01</v>
      </c>
      <c r="F7" s="47">
        <v>0.03</v>
      </c>
      <c r="G7" s="37">
        <f t="shared" si="0"/>
        <v>2415019.5</v>
      </c>
      <c r="H7" s="37">
        <f>6.6925-'Data Entry-V'!$G$9+(24*((1.0027379093*(G7-2447892.5))-FLOOR(1.0027379093*(G7-2447892.5),1)))-(ROUNDDOWN(((6.6925-'Data Entry-V'!$G$9+(24*((1.0027379093*(G7-2447892.5))-FLOOR(1.0027379093*(G7-2447892.5),1))))/24),0)*24)</f>
        <v>6.6134819464012971</v>
      </c>
      <c r="I7" s="37">
        <f>H7-B7</f>
        <v>4.5562819464012971</v>
      </c>
      <c r="J7" s="37">
        <f t="shared" si="3"/>
        <v>68.344229196019455</v>
      </c>
      <c r="K7" s="37">
        <f t="shared" si="4"/>
        <v>68.344229196019455</v>
      </c>
      <c r="L7" s="37">
        <f t="shared" si="5"/>
        <v>-0.92941771886708768</v>
      </c>
      <c r="M7" s="37">
        <f>TAN(RADIANS(C7))*COS(RADIANS('Data Entry-V'!$F$8))-SIN(RADIANS('Data Entry-V'!$F$8))*COS(RADIANS(K7))</f>
        <v>3.1564894413221825</v>
      </c>
      <c r="N7" s="37">
        <f t="shared" si="6"/>
        <v>-16.406888051689343</v>
      </c>
      <c r="O7" s="147">
        <f t="shared" si="7"/>
        <v>343.59311194831065</v>
      </c>
      <c r="P7" s="149">
        <f>DEGREES(ASIN(COS(RADIANS(K7))*COS(RADIANS(C7))*COS(RADIANS('Data Entry-V'!$F$8))+SIN(RADIANS(C7))*SIN(RADIANS('Data Entry-V'!$F$8))))</f>
        <v>6.3990233784089741</v>
      </c>
      <c r="Q7" s="37">
        <f t="shared" si="1"/>
        <v>8.972473005545865</v>
      </c>
      <c r="R7" s="37" t="str">
        <f t="shared" si="2"/>
        <v/>
      </c>
      <c r="S7" s="90"/>
      <c r="T7" s="90"/>
      <c r="U7" s="90"/>
      <c r="V7" s="90"/>
    </row>
    <row r="8" spans="1:22" x14ac:dyDescent="0.2">
      <c r="A8" s="43" t="s">
        <v>56</v>
      </c>
      <c r="B8" s="46">
        <v>2.1415000000000002</v>
      </c>
      <c r="C8" s="46">
        <v>37.8583</v>
      </c>
      <c r="D8" s="47">
        <v>4.83</v>
      </c>
      <c r="E8" s="47">
        <v>0.12</v>
      </c>
      <c r="F8" s="47">
        <v>0.14000000000000001</v>
      </c>
      <c r="G8" s="37">
        <f t="shared" si="0"/>
        <v>2415019.5</v>
      </c>
      <c r="H8" s="37">
        <f>6.6925-'Data Entry-V'!$G$9+(24*((1.0027379093*(G8-2447892.5))-FLOOR(1.0027379093*(G8-2447892.5),1)))-(ROUNDDOWN(((6.6925-'Data Entry-V'!$G$9+(24*((1.0027379093*(G8-2447892.5))-FLOOR(1.0027379093*(G8-2447892.5),1))))/24),0)*24)</f>
        <v>6.6134819464012971</v>
      </c>
      <c r="I8" s="37">
        <f>H8-B8</f>
        <v>4.4719819464012964</v>
      </c>
      <c r="J8" s="37">
        <f t="shared" si="3"/>
        <v>67.079729196019443</v>
      </c>
      <c r="K8" s="37">
        <f t="shared" si="4"/>
        <v>67.079729196019443</v>
      </c>
      <c r="L8" s="37">
        <f t="shared" si="5"/>
        <v>-0.92104767887046879</v>
      </c>
      <c r="M8" s="37">
        <f>TAN(RADIANS(C8))*COS(RADIANS('Data Entry-V'!$F$8))-SIN(RADIANS('Data Entry-V'!$F$8))*COS(RADIANS(K8))</f>
        <v>0.77731055020332396</v>
      </c>
      <c r="N8" s="37">
        <f t="shared" si="6"/>
        <v>-49.837584774959268</v>
      </c>
      <c r="O8" s="147">
        <f t="shared" si="7"/>
        <v>310.16241522504072</v>
      </c>
      <c r="P8" s="149">
        <f>DEGREES(ASIN(COS(RADIANS(K8))*COS(RADIANS(C8))*COS(RADIANS('Data Entry-V'!$F$8))+SIN(RADIANS(C8))*SIN(RADIANS('Data Entry-V'!$F$8))))</f>
        <v>17.907591549520308</v>
      </c>
      <c r="Q8" s="37">
        <f t="shared" si="1"/>
        <v>3.2522155009280205</v>
      </c>
      <c r="R8" s="37">
        <f t="shared" si="2"/>
        <v>3.2243076211108517</v>
      </c>
      <c r="S8" s="90"/>
      <c r="T8" s="90"/>
      <c r="U8" s="90"/>
      <c r="V8" s="90"/>
    </row>
    <row r="9" spans="1:22" x14ac:dyDescent="0.2">
      <c r="A9" s="43" t="s">
        <v>46</v>
      </c>
      <c r="B9" s="46">
        <v>2.2886000000000002</v>
      </c>
      <c r="C9" s="46">
        <v>33.846899999999998</v>
      </c>
      <c r="D9" s="47">
        <v>4.01</v>
      </c>
      <c r="E9" s="47">
        <v>0.01</v>
      </c>
      <c r="F9" s="47">
        <v>0.03</v>
      </c>
      <c r="G9" s="37">
        <f t="shared" si="0"/>
        <v>2415019.5</v>
      </c>
      <c r="H9" s="37">
        <f>6.6925-'Data Entry-V'!$G$9+(24*((1.0027379093*(G9-2447892.5))-FLOOR(1.0027379093*(G9-2447892.5),1)))-(ROUNDDOWN(((6.6925-'Data Entry-V'!$G$9+(24*((1.0027379093*(G9-2447892.5))-FLOOR(1.0027379093*(G9-2447892.5),1))))/24),0)*24)</f>
        <v>6.6134819464012971</v>
      </c>
      <c r="I9" s="37">
        <f>H9-B9</f>
        <v>4.3248819464012964</v>
      </c>
      <c r="J9" s="37">
        <f t="shared" si="3"/>
        <v>64.873229196019452</v>
      </c>
      <c r="K9" s="37">
        <f t="shared" si="4"/>
        <v>64.873229196019452</v>
      </c>
      <c r="L9" s="37">
        <f t="shared" si="5"/>
        <v>-0.90537049779478107</v>
      </c>
      <c r="M9" s="37">
        <f>TAN(RADIANS(C9))*COS(RADIANS('Data Entry-V'!$F$8))-SIN(RADIANS('Data Entry-V'!$F$8))*COS(RADIANS(K9))</f>
        <v>0.6706277002776132</v>
      </c>
      <c r="N9" s="37">
        <f t="shared" si="6"/>
        <v>-53.471843923329345</v>
      </c>
      <c r="O9" s="147">
        <f t="shared" si="7"/>
        <v>306.52815607667065</v>
      </c>
      <c r="P9" s="149">
        <f>DEGREES(ASIN(COS(RADIANS(K9))*COS(RADIANS(C9))*COS(RADIANS('Data Entry-V'!$F$8))+SIN(RADIANS(C9))*SIN(RADIANS('Data Entry-V'!$F$8))))</f>
        <v>20.650174017804478</v>
      </c>
      <c r="Q9" s="37">
        <f t="shared" si="1"/>
        <v>2.8355825262758572</v>
      </c>
      <c r="R9" s="37">
        <f t="shared" si="2"/>
        <v>2.8175628768542889</v>
      </c>
      <c r="S9" s="90"/>
      <c r="T9" s="90"/>
      <c r="U9" s="90"/>
      <c r="V9" s="90"/>
    </row>
    <row r="10" spans="1:22" x14ac:dyDescent="0.2">
      <c r="A10" s="43" t="s">
        <v>57</v>
      </c>
      <c r="B10" s="46">
        <v>2.4693000000000001</v>
      </c>
      <c r="C10" s="46">
        <v>8.4600000000000009</v>
      </c>
      <c r="D10" s="47">
        <v>4.28</v>
      </c>
      <c r="E10" s="47">
        <v>-0.06</v>
      </c>
      <c r="F10" s="47">
        <v>-0.13</v>
      </c>
      <c r="G10" s="37">
        <f t="shared" si="0"/>
        <v>2415019.5</v>
      </c>
      <c r="H10" s="37">
        <f>6.6925-'Data Entry-V'!$G$9+(24*((1.0027379093*(G10-2447892.5))-FLOOR(1.0027379093*(G10-2447892.5),1)))-(ROUNDDOWN(((6.6925-'Data Entry-V'!$G$9+(24*((1.0027379093*(G10-2447892.5))-FLOOR(1.0027379093*(G10-2447892.5),1))))/24),0)*24)</f>
        <v>6.6134819464012971</v>
      </c>
      <c r="I10" s="37">
        <f>H10-B10</f>
        <v>4.1441819464012966</v>
      </c>
      <c r="J10" s="37">
        <f t="shared" si="3"/>
        <v>62.162729196019448</v>
      </c>
      <c r="K10" s="37">
        <f t="shared" si="4"/>
        <v>62.162729196019448</v>
      </c>
      <c r="L10" s="37">
        <f t="shared" si="5"/>
        <v>-0.8842774043914482</v>
      </c>
      <c r="M10" s="37">
        <f>TAN(RADIANS(C10))*COS(RADIANS('Data Entry-V'!$F$8))-SIN(RADIANS('Data Entry-V'!$F$8))*COS(RADIANS(K10))</f>
        <v>0.14873735080050005</v>
      </c>
      <c r="N10" s="37">
        <f t="shared" si="6"/>
        <v>-80.452100817172635</v>
      </c>
      <c r="O10" s="147">
        <f t="shared" si="7"/>
        <v>279.54789918282734</v>
      </c>
      <c r="P10" s="149">
        <f>DEGREES(ASIN(COS(RADIANS(K10))*COS(RADIANS(C10))*COS(RADIANS('Data Entry-V'!$F$8))+SIN(RADIANS(C10))*SIN(RADIANS('Data Entry-V'!$F$8))))</f>
        <v>27.508542675599688</v>
      </c>
      <c r="Q10" s="37">
        <f t="shared" si="1"/>
        <v>2.1650604901125221</v>
      </c>
      <c r="R10" s="37">
        <f t="shared" si="2"/>
        <v>2.1577639401841724</v>
      </c>
      <c r="S10" s="90"/>
      <c r="T10" s="90"/>
      <c r="U10" s="90"/>
      <c r="V10" s="90"/>
    </row>
    <row r="11" spans="1:22" x14ac:dyDescent="0.2">
      <c r="A11" s="43" t="s">
        <v>43</v>
      </c>
      <c r="B11" s="46">
        <v>2.9794</v>
      </c>
      <c r="C11" s="46">
        <v>39.662500000000001</v>
      </c>
      <c r="D11" s="47">
        <v>4.7</v>
      </c>
      <c r="E11" s="47">
        <v>0.06</v>
      </c>
      <c r="F11" s="47">
        <v>0.12</v>
      </c>
      <c r="G11" s="37">
        <f t="shared" si="0"/>
        <v>2415019.5</v>
      </c>
      <c r="H11" s="37">
        <f>6.6925-'Data Entry-V'!$G$9+(24*((1.0027379093*(G11-2447892.5))-FLOOR(1.0027379093*(G11-2447892.5),1)))-(ROUNDDOWN(((6.6925-'Data Entry-V'!$G$9+(24*((1.0027379093*(G11-2447892.5))-FLOOR(1.0027379093*(G11-2447892.5),1))))/24),0)*24)</f>
        <v>6.6134819464012971</v>
      </c>
      <c r="I11" s="37">
        <f>H11-B11</f>
        <v>3.634081946401297</v>
      </c>
      <c r="J11" s="37">
        <f t="shared" si="3"/>
        <v>54.511229196019457</v>
      </c>
      <c r="K11" s="37">
        <f t="shared" si="4"/>
        <v>54.511229196019457</v>
      </c>
      <c r="L11" s="37">
        <f t="shared" si="5"/>
        <v>-0.81422931262688925</v>
      </c>
      <c r="M11" s="37">
        <f>TAN(RADIANS(C11))*COS(RADIANS('Data Entry-V'!$F$8))-SIN(RADIANS('Data Entry-V'!$F$8))*COS(RADIANS(K11))</f>
        <v>0.8291109785937556</v>
      </c>
      <c r="N11" s="37">
        <f t="shared" si="6"/>
        <v>-44.481158376058517</v>
      </c>
      <c r="O11" s="147">
        <f t="shared" si="7"/>
        <v>315.51884162394151</v>
      </c>
      <c r="P11" s="149">
        <f>DEGREES(ASIN(COS(RADIANS(K11))*COS(RADIANS(C11))*COS(RADIANS('Data Entry-V'!$F$8))+SIN(RADIANS(C11))*SIN(RADIANS('Data Entry-V'!$F$8))))</f>
        <v>26.545761109959045</v>
      </c>
      <c r="Q11" s="37">
        <f t="shared" si="1"/>
        <v>2.2375747760856797</v>
      </c>
      <c r="R11" s="37">
        <f t="shared" si="2"/>
        <v>2.229391792129177</v>
      </c>
      <c r="S11" s="90"/>
      <c r="T11" s="90"/>
      <c r="U11" s="90"/>
      <c r="V11" s="90"/>
    </row>
    <row r="12" spans="1:22" x14ac:dyDescent="0.2">
      <c r="A12" s="43" t="s">
        <v>58</v>
      </c>
      <c r="B12" s="46">
        <v>3.1989999999999998</v>
      </c>
      <c r="C12" s="46">
        <v>74.293700000000001</v>
      </c>
      <c r="D12" s="47">
        <v>4.87</v>
      </c>
      <c r="E12" s="47">
        <v>0.03</v>
      </c>
      <c r="F12" s="47">
        <v>0.04</v>
      </c>
      <c r="G12" s="37">
        <f t="shared" si="0"/>
        <v>2415019.5</v>
      </c>
      <c r="H12" s="37">
        <f>6.6925-'Data Entry-V'!$G$9+(24*((1.0027379093*(G12-2447892.5))-FLOOR(1.0027379093*(G12-2447892.5),1)))-(ROUNDDOWN(((6.6925-'Data Entry-V'!$G$9+(24*((1.0027379093*(G12-2447892.5))-FLOOR(1.0027379093*(G12-2447892.5),1))))/24),0)*24)</f>
        <v>6.6134819464012971</v>
      </c>
      <c r="I12" s="37">
        <f>H12-B12</f>
        <v>3.4144819464012972</v>
      </c>
      <c r="J12" s="37">
        <f t="shared" si="3"/>
        <v>51.21722919601946</v>
      </c>
      <c r="K12" s="37">
        <f t="shared" si="4"/>
        <v>51.21722919601946</v>
      </c>
      <c r="L12" s="37">
        <f t="shared" si="5"/>
        <v>-0.77952635334289655</v>
      </c>
      <c r="M12" s="37">
        <f>TAN(RADIANS(C12))*COS(RADIANS('Data Entry-V'!$F$8))-SIN(RADIANS('Data Entry-V'!$F$8))*COS(RADIANS(K12))</f>
        <v>3.5561122672984049</v>
      </c>
      <c r="N12" s="37">
        <f t="shared" si="6"/>
        <v>-12.364098718386868</v>
      </c>
      <c r="O12" s="147">
        <f t="shared" si="7"/>
        <v>347.63590128161314</v>
      </c>
      <c r="P12" s="149">
        <f>DEGREES(ASIN(COS(RADIANS(K12))*COS(RADIANS(C12))*COS(RADIANS('Data Entry-V'!$F$8))+SIN(RADIANS(C12))*SIN(RADIANS('Data Entry-V'!$F$8))))</f>
        <v>9.7623625055567214</v>
      </c>
      <c r="Q12" s="37">
        <f t="shared" si="1"/>
        <v>5.8975425889529358</v>
      </c>
      <c r="R12" s="37" t="str">
        <f t="shared" si="2"/>
        <v/>
      </c>
      <c r="S12" s="90"/>
      <c r="T12" s="90"/>
      <c r="U12" s="90"/>
      <c r="V12" s="90"/>
    </row>
    <row r="13" spans="1:22" x14ac:dyDescent="0.2">
      <c r="A13" s="43" t="s">
        <v>59</v>
      </c>
      <c r="B13" s="46">
        <v>3.2484000000000002</v>
      </c>
      <c r="C13" s="46">
        <v>21.044</v>
      </c>
      <c r="D13" s="47">
        <v>4.8899999999999997</v>
      </c>
      <c r="E13" s="47">
        <v>-0.02</v>
      </c>
      <c r="F13" s="47">
        <v>-0.01</v>
      </c>
      <c r="G13" s="37">
        <f t="shared" si="0"/>
        <v>2415019.5</v>
      </c>
      <c r="H13" s="37">
        <f>6.6925-'Data Entry-V'!$G$9+(24*((1.0027379093*(G13-2447892.5))-FLOOR(1.0027379093*(G13-2447892.5),1)))-(ROUNDDOWN(((6.6925-'Data Entry-V'!$G$9+(24*((1.0027379093*(G13-2447892.5))-FLOOR(1.0027379093*(G13-2447892.5),1))))/24),0)*24)</f>
        <v>6.6134819464012971</v>
      </c>
      <c r="I13" s="37">
        <f>H13-B13</f>
        <v>3.3650819464012969</v>
      </c>
      <c r="J13" s="37">
        <f t="shared" si="3"/>
        <v>50.476229196019453</v>
      </c>
      <c r="K13" s="37">
        <f t="shared" si="4"/>
        <v>50.476229196019453</v>
      </c>
      <c r="L13" s="37">
        <f t="shared" si="5"/>
        <v>-0.77136062162182673</v>
      </c>
      <c r="M13" s="37">
        <f>TAN(RADIANS(C13))*COS(RADIANS('Data Entry-V'!$F$8))-SIN(RADIANS('Data Entry-V'!$F$8))*COS(RADIANS(K13))</f>
        <v>0.38474539779675582</v>
      </c>
      <c r="N13" s="37">
        <f t="shared" si="6"/>
        <v>-63.490531162952152</v>
      </c>
      <c r="O13" s="147">
        <f t="shared" si="7"/>
        <v>296.50946883704785</v>
      </c>
      <c r="P13" s="149">
        <f>DEGREES(ASIN(COS(RADIANS(K13))*COS(RADIANS(C13))*COS(RADIANS('Data Entry-V'!$F$8))+SIN(RADIANS(C13))*SIN(RADIANS('Data Entry-V'!$F$8))))</f>
        <v>36.438077958485003</v>
      </c>
      <c r="Q13" s="37">
        <f t="shared" si="1"/>
        <v>1.6836329828902439</v>
      </c>
      <c r="R13" s="37">
        <f t="shared" si="2"/>
        <v>1.6807895433647635</v>
      </c>
      <c r="S13" s="90"/>
      <c r="T13" s="90"/>
      <c r="U13" s="90"/>
      <c r="V13" s="90"/>
    </row>
    <row r="14" spans="1:22" x14ac:dyDescent="0.2">
      <c r="A14" s="43" t="s">
        <v>60</v>
      </c>
      <c r="B14" s="46">
        <v>3.3574000000000002</v>
      </c>
      <c r="C14" s="46">
        <v>43.329700000000003</v>
      </c>
      <c r="D14" s="47">
        <v>4.9400000000000004</v>
      </c>
      <c r="E14" s="47">
        <v>0.06</v>
      </c>
      <c r="F14" s="47">
        <v>0.05</v>
      </c>
      <c r="G14" s="37">
        <f t="shared" si="0"/>
        <v>2415019.5</v>
      </c>
      <c r="H14" s="37">
        <f>6.6925-'Data Entry-V'!$G$9+(24*((1.0027379093*(G14-2447892.5))-FLOOR(1.0027379093*(G14-2447892.5),1)))-(ROUNDDOWN(((6.6925-'Data Entry-V'!$G$9+(24*((1.0027379093*(G14-2447892.5))-FLOOR(1.0027379093*(G14-2447892.5),1))))/24),0)*24)</f>
        <v>6.6134819464012971</v>
      </c>
      <c r="I14" s="37">
        <f>H14-B14</f>
        <v>3.2560819464012969</v>
      </c>
      <c r="J14" s="37">
        <f t="shared" si="3"/>
        <v>48.841229196019455</v>
      </c>
      <c r="K14" s="37">
        <f t="shared" si="4"/>
        <v>48.841229196019455</v>
      </c>
      <c r="L14" s="37">
        <f t="shared" si="5"/>
        <v>-0.75288869725259822</v>
      </c>
      <c r="M14" s="37">
        <f>TAN(RADIANS(C14))*COS(RADIANS('Data Entry-V'!$F$8))-SIN(RADIANS('Data Entry-V'!$F$8))*COS(RADIANS(K14))</f>
        <v>0.94333149047964304</v>
      </c>
      <c r="N14" s="37">
        <f t="shared" si="6"/>
        <v>-38.593954971766401</v>
      </c>
      <c r="O14" s="147">
        <f t="shared" si="7"/>
        <v>321.40604502823362</v>
      </c>
      <c r="P14" s="149">
        <f>DEGREES(ASIN(COS(RADIANS(K14))*COS(RADIANS(C14))*COS(RADIANS('Data Entry-V'!$F$8))+SIN(RADIANS(C14))*SIN(RADIANS('Data Entry-V'!$F$8))))</f>
        <v>28.603666905543907</v>
      </c>
      <c r="Q14" s="37">
        <f t="shared" si="1"/>
        <v>2.0887813647010773</v>
      </c>
      <c r="R14" s="37">
        <f t="shared" si="2"/>
        <v>2.0823526099444716</v>
      </c>
      <c r="S14" s="90"/>
      <c r="T14" s="90"/>
      <c r="U14" s="90"/>
      <c r="V14" s="90"/>
    </row>
    <row r="15" spans="1:22" x14ac:dyDescent="0.2">
      <c r="A15" s="43" t="s">
        <v>61</v>
      </c>
      <c r="B15" s="46">
        <v>3.8393000000000002</v>
      </c>
      <c r="C15" s="46">
        <v>71.331999999999994</v>
      </c>
      <c r="D15" s="47">
        <v>4.66</v>
      </c>
      <c r="E15" s="47">
        <v>0.03</v>
      </c>
      <c r="F15" s="47">
        <v>0.05</v>
      </c>
      <c r="G15" s="37">
        <f t="shared" si="0"/>
        <v>2415019.5</v>
      </c>
      <c r="H15" s="37">
        <f>6.6925-'Data Entry-V'!$G$9+(24*((1.0027379093*(G15-2447892.5))-FLOOR(1.0027379093*(G15-2447892.5),1)))-(ROUNDDOWN(((6.6925-'Data Entry-V'!$G$9+(24*((1.0027379093*(G15-2447892.5))-FLOOR(1.0027379093*(G15-2447892.5),1))))/24),0)*24)</f>
        <v>6.6134819464012971</v>
      </c>
      <c r="I15" s="37">
        <f>H15-B15</f>
        <v>2.7741819464012969</v>
      </c>
      <c r="J15" s="37">
        <f t="shared" si="3"/>
        <v>41.612729196019451</v>
      </c>
      <c r="K15" s="37">
        <f t="shared" si="4"/>
        <v>41.612729196019451</v>
      </c>
      <c r="L15" s="37">
        <f t="shared" si="5"/>
        <v>-0.66409233186185945</v>
      </c>
      <c r="M15" s="37">
        <f>TAN(RADIANS(C15))*COS(RADIANS('Data Entry-V'!$F$8))-SIN(RADIANS('Data Entry-V'!$F$8))*COS(RADIANS(K15))</f>
        <v>2.9598150330368824</v>
      </c>
      <c r="N15" s="37">
        <f t="shared" si="6"/>
        <v>-12.645996646988225</v>
      </c>
      <c r="O15" s="147">
        <f t="shared" si="7"/>
        <v>347.35400335301176</v>
      </c>
      <c r="P15" s="149">
        <f>DEGREES(ASIN(COS(RADIANS(K15))*COS(RADIANS(C15))*COS(RADIANS('Data Entry-V'!$F$8))+SIN(RADIANS(C15))*SIN(RADIANS('Data Entry-V'!$F$8))))</f>
        <v>13.845874129528196</v>
      </c>
      <c r="Q15" s="37">
        <f t="shared" si="1"/>
        <v>4.1786642355271661</v>
      </c>
      <c r="R15" s="37">
        <f t="shared" si="2"/>
        <v>4.1178826217171753</v>
      </c>
      <c r="S15" s="90"/>
      <c r="T15" s="90"/>
      <c r="U15" s="90"/>
      <c r="V15" s="90"/>
    </row>
    <row r="16" spans="1:22" x14ac:dyDescent="0.2">
      <c r="A16" s="43" t="s">
        <v>62</v>
      </c>
      <c r="B16" s="46">
        <v>4.1097000000000001</v>
      </c>
      <c r="C16" s="46">
        <v>50.351100000000002</v>
      </c>
      <c r="D16" s="47">
        <v>4.29</v>
      </c>
      <c r="E16" s="47">
        <v>0.02</v>
      </c>
      <c r="F16" s="47">
        <v>-0.04</v>
      </c>
      <c r="G16" s="37">
        <f t="shared" si="0"/>
        <v>2415019.5</v>
      </c>
      <c r="H16" s="37">
        <f>6.6925-'Data Entry-V'!$G$9+(24*((1.0027379093*(G16-2447892.5))-FLOOR(1.0027379093*(G16-2447892.5),1)))-(ROUNDDOWN(((6.6925-'Data Entry-V'!$G$9+(24*((1.0027379093*(G16-2447892.5))-FLOOR(1.0027379093*(G16-2447892.5),1))))/24),0)*24)</f>
        <v>6.6134819464012971</v>
      </c>
      <c r="I16" s="37">
        <f>H16-B16</f>
        <v>2.5037819464012969</v>
      </c>
      <c r="J16" s="37">
        <f t="shared" si="3"/>
        <v>37.556729196019454</v>
      </c>
      <c r="K16" s="37">
        <f t="shared" si="4"/>
        <v>37.556729196019454</v>
      </c>
      <c r="L16" s="37">
        <f t="shared" si="5"/>
        <v>-0.60954663855928182</v>
      </c>
      <c r="M16" s="37">
        <f>TAN(RADIANS(C16))*COS(RADIANS('Data Entry-V'!$F$8))-SIN(RADIANS('Data Entry-V'!$F$8))*COS(RADIANS(K16))</f>
        <v>1.2066939821483151</v>
      </c>
      <c r="N16" s="37">
        <f t="shared" si="6"/>
        <v>-26.800062310286002</v>
      </c>
      <c r="O16" s="147">
        <f t="shared" si="7"/>
        <v>333.19993768971398</v>
      </c>
      <c r="P16" s="149">
        <f>DEGREES(ASIN(COS(RADIANS(K16))*COS(RADIANS(C16))*COS(RADIANS('Data Entry-V'!$F$8))+SIN(RADIANS(C16))*SIN(RADIANS('Data Entry-V'!$F$8))))</f>
        <v>30.387071908908162</v>
      </c>
      <c r="Q16" s="37">
        <f t="shared" si="1"/>
        <v>1.9769130730233964</v>
      </c>
      <c r="R16" s="37">
        <f t="shared" si="2"/>
        <v>1.9716415195777905</v>
      </c>
      <c r="S16" s="90"/>
      <c r="T16" s="90"/>
      <c r="U16" s="90"/>
      <c r="V16" s="90"/>
    </row>
    <row r="17" spans="1:22" x14ac:dyDescent="0.2">
      <c r="A17" s="43" t="s">
        <v>63</v>
      </c>
      <c r="B17" s="46">
        <v>4.3041</v>
      </c>
      <c r="C17" s="46">
        <v>50.295200000000001</v>
      </c>
      <c r="D17" s="47">
        <v>4.66</v>
      </c>
      <c r="E17" s="47">
        <v>0.05</v>
      </c>
      <c r="F17" s="47">
        <v>0.05</v>
      </c>
      <c r="G17" s="37">
        <f t="shared" si="0"/>
        <v>2415019.5</v>
      </c>
      <c r="H17" s="37">
        <f>6.6925-'Data Entry-V'!$G$9+(24*((1.0027379093*(G17-2447892.5))-FLOOR(1.0027379093*(G17-2447892.5),1)))-(ROUNDDOWN(((6.6925-'Data Entry-V'!$G$9+(24*((1.0027379093*(G17-2447892.5))-FLOOR(1.0027379093*(G17-2447892.5),1))))/24),0)*24)</f>
        <v>6.6134819464012971</v>
      </c>
      <c r="I17" s="37">
        <f>H17-B17</f>
        <v>2.309381946401297</v>
      </c>
      <c r="J17" s="37">
        <f t="shared" si="3"/>
        <v>34.640729196019457</v>
      </c>
      <c r="K17" s="37">
        <f t="shared" si="4"/>
        <v>34.640729196019457</v>
      </c>
      <c r="L17" s="37">
        <f t="shared" si="5"/>
        <v>-0.56842873507613911</v>
      </c>
      <c r="M17" s="37">
        <f>TAN(RADIANS(C17))*COS(RADIANS('Data Entry-V'!$F$8))-SIN(RADIANS('Data Entry-V'!$F$8))*COS(RADIANS(K17))</f>
        <v>1.2043005220148777</v>
      </c>
      <c r="N17" s="37">
        <f t="shared" si="6"/>
        <v>-25.267267261373405</v>
      </c>
      <c r="O17" s="147">
        <f t="shared" si="7"/>
        <v>334.73273273862662</v>
      </c>
      <c r="P17" s="149">
        <f>DEGREES(ASIN(COS(RADIANS(K17))*COS(RADIANS(C17))*COS(RADIANS('Data Entry-V'!$F$8))+SIN(RADIANS(C17))*SIN(RADIANS('Data Entry-V'!$F$8))))</f>
        <v>31.707840618129126</v>
      </c>
      <c r="Q17" s="37">
        <f t="shared" si="1"/>
        <v>1.9026306863741451</v>
      </c>
      <c r="R17" s="37">
        <f t="shared" si="2"/>
        <v>1.8980546021554339</v>
      </c>
      <c r="S17" s="90"/>
      <c r="T17" s="90"/>
      <c r="U17" s="90"/>
      <c r="V17" s="90"/>
    </row>
    <row r="18" spans="1:22" x14ac:dyDescent="0.2">
      <c r="A18" s="43" t="s">
        <v>64</v>
      </c>
      <c r="B18" s="46">
        <v>4.4229000000000003</v>
      </c>
      <c r="C18" s="46">
        <v>22.293600000000001</v>
      </c>
      <c r="D18" s="47">
        <v>4.2300000000000004</v>
      </c>
      <c r="E18" s="47">
        <v>0.12</v>
      </c>
      <c r="F18" s="47">
        <v>0.15</v>
      </c>
      <c r="G18" s="37">
        <f t="shared" si="0"/>
        <v>2415019.5</v>
      </c>
      <c r="H18" s="37">
        <f>6.6925-'Data Entry-V'!$G$9+(24*((1.0027379093*(G18-2447892.5))-FLOOR(1.0027379093*(G18-2447892.5),1)))-(ROUNDDOWN(((6.6925-'Data Entry-V'!$G$9+(24*((1.0027379093*(G18-2447892.5))-FLOOR(1.0027379093*(G18-2447892.5),1))))/24),0)*24)</f>
        <v>6.6134819464012971</v>
      </c>
      <c r="I18" s="37">
        <f>H18-B18</f>
        <v>2.1905819464012968</v>
      </c>
      <c r="J18" s="37">
        <f t="shared" si="3"/>
        <v>32.858729196019453</v>
      </c>
      <c r="K18" s="37">
        <f t="shared" si="4"/>
        <v>32.858729196019453</v>
      </c>
      <c r="L18" s="37">
        <f t="shared" si="5"/>
        <v>-0.54256952131815617</v>
      </c>
      <c r="M18" s="37">
        <f>TAN(RADIANS(C18))*COS(RADIANS('Data Entry-V'!$F$8))-SIN(RADIANS('Data Entry-V'!$F$8))*COS(RADIANS(K18))</f>
        <v>0.40999940551587161</v>
      </c>
      <c r="N18" s="37">
        <f t="shared" si="6"/>
        <v>-52.923028564949149</v>
      </c>
      <c r="O18" s="147">
        <f t="shared" si="7"/>
        <v>307.07697143505084</v>
      </c>
      <c r="P18" s="149">
        <f>DEGREES(ASIN(COS(RADIANS(K18))*COS(RADIANS(C18))*COS(RADIANS('Data Entry-V'!$F$8))+SIN(RADIANS(C18))*SIN(RADIANS('Data Entry-V'!$F$8))))</f>
        <v>51.006909623771868</v>
      </c>
      <c r="Q18" s="37">
        <f t="shared" si="1"/>
        <v>1.286633927134669</v>
      </c>
      <c r="R18" s="37">
        <f t="shared" si="2"/>
        <v>1.2858581290023954</v>
      </c>
      <c r="S18" s="90"/>
      <c r="T18" s="102"/>
      <c r="U18" s="90"/>
      <c r="V18" s="90"/>
    </row>
    <row r="19" spans="1:22" x14ac:dyDescent="0.2">
      <c r="A19" s="43" t="s">
        <v>65</v>
      </c>
      <c r="B19" s="46">
        <v>4.4249000000000001</v>
      </c>
      <c r="C19" s="46">
        <v>17.927700000000002</v>
      </c>
      <c r="D19" s="47">
        <v>4.29</v>
      </c>
      <c r="E19" s="47">
        <v>0.04</v>
      </c>
      <c r="F19" s="47">
        <v>0.08</v>
      </c>
      <c r="G19" s="37">
        <f t="shared" si="0"/>
        <v>2415019.5</v>
      </c>
      <c r="H19" s="37">
        <f>6.6925-'Data Entry-V'!$G$9+(24*((1.0027379093*(G19-2447892.5))-FLOOR(1.0027379093*(G19-2447892.5),1)))-(ROUNDDOWN(((6.6925-'Data Entry-V'!$G$9+(24*((1.0027379093*(G19-2447892.5))-FLOOR(1.0027379093*(G19-2447892.5),1))))/24),0)*24)</f>
        <v>6.6134819464012971</v>
      </c>
      <c r="I19" s="37">
        <f>H19-B19</f>
        <v>2.188581946401297</v>
      </c>
      <c r="J19" s="37">
        <f t="shared" si="3"/>
        <v>32.828729196019452</v>
      </c>
      <c r="K19" s="37">
        <f t="shared" si="4"/>
        <v>32.828729196019452</v>
      </c>
      <c r="L19" s="37">
        <f t="shared" si="5"/>
        <v>-0.54212961828451467</v>
      </c>
      <c r="M19" s="37">
        <f>TAN(RADIANS(C19))*COS(RADIANS('Data Entry-V'!$F$8))-SIN(RADIANS('Data Entry-V'!$F$8))*COS(RADIANS(K19))</f>
        <v>0.32352517472528169</v>
      </c>
      <c r="N19" s="37">
        <f t="shared" si="6"/>
        <v>-59.172633142757519</v>
      </c>
      <c r="O19" s="147">
        <f t="shared" si="7"/>
        <v>300.82736685724251</v>
      </c>
      <c r="P19" s="149">
        <f>DEGREES(ASIN(COS(RADIANS(K19))*COS(RADIANS(C19))*COS(RADIANS('Data Entry-V'!$F$8))+SIN(RADIANS(C19))*SIN(RADIANS('Data Entry-V'!$F$8))))</f>
        <v>53.081900174164829</v>
      </c>
      <c r="Q19" s="37">
        <f t="shared" si="1"/>
        <v>1.2507896471039395</v>
      </c>
      <c r="R19" s="37">
        <f t="shared" si="2"/>
        <v>1.2501406138735782</v>
      </c>
      <c r="S19" s="102"/>
      <c r="T19" s="102"/>
      <c r="U19" s="90"/>
      <c r="V19" s="90"/>
    </row>
    <row r="20" spans="1:22" x14ac:dyDescent="0.2">
      <c r="A20" s="43" t="s">
        <v>66</v>
      </c>
      <c r="B20" s="46">
        <v>4.59</v>
      </c>
      <c r="C20" s="46">
        <v>5.5686</v>
      </c>
      <c r="D20" s="47">
        <v>5.68</v>
      </c>
      <c r="E20" s="47">
        <v>0.05</v>
      </c>
      <c r="F20" s="47">
        <v>0.1</v>
      </c>
      <c r="G20" s="37">
        <f t="shared" si="0"/>
        <v>2415019.5</v>
      </c>
      <c r="H20" s="37">
        <f>6.6925-'Data Entry-V'!$G$9+(24*((1.0027379093*(G20-2447892.5))-FLOOR(1.0027379093*(G20-2447892.5),1)))-(ROUNDDOWN(((6.6925-'Data Entry-V'!$G$9+(24*((1.0027379093*(G20-2447892.5))-FLOOR(1.0027379093*(G20-2447892.5),1))))/24),0)*24)</f>
        <v>6.6134819464012971</v>
      </c>
      <c r="I20" s="37">
        <f>H20-B20</f>
        <v>2.0234819464012972</v>
      </c>
      <c r="J20" s="37">
        <f t="shared" si="3"/>
        <v>30.352229196019458</v>
      </c>
      <c r="K20" s="37">
        <f t="shared" si="4"/>
        <v>30.352229196019458</v>
      </c>
      <c r="L20" s="37">
        <f t="shared" si="5"/>
        <v>-0.50531446080635223</v>
      </c>
      <c r="M20" s="37">
        <f>TAN(RADIANS(C20))*COS(RADIANS('Data Entry-V'!$F$8))-SIN(RADIANS('Data Entry-V'!$F$8))*COS(RADIANS(K20))</f>
        <v>9.7497584795196976E-2</v>
      </c>
      <c r="N20" s="37">
        <f t="shared" si="6"/>
        <v>-79.079298626787363</v>
      </c>
      <c r="O20" s="147">
        <f t="shared" si="7"/>
        <v>280.92070137321264</v>
      </c>
      <c r="P20" s="149">
        <f>DEGREES(ASIN(COS(RADIANS(K20))*COS(RADIANS(C20))*COS(RADIANS('Data Entry-V'!$F$8))+SIN(RADIANS(C20))*SIN(RADIANS('Data Entry-V'!$F$8))))</f>
        <v>59.189142934806036</v>
      </c>
      <c r="Q20" s="37">
        <f t="shared" si="1"/>
        <v>1.1643302486151987</v>
      </c>
      <c r="R20" s="37">
        <f t="shared" si="2"/>
        <v>1.1639505837643966</v>
      </c>
      <c r="S20" s="90"/>
      <c r="T20" s="90"/>
      <c r="U20" s="90"/>
      <c r="V20" s="90"/>
    </row>
    <row r="21" spans="1:22" x14ac:dyDescent="0.2">
      <c r="A21" s="43" t="s">
        <v>67</v>
      </c>
      <c r="B21" s="46">
        <v>4.8434999999999997</v>
      </c>
      <c r="C21" s="46">
        <v>8.9</v>
      </c>
      <c r="D21" s="47">
        <v>4.3499999999999996</v>
      </c>
      <c r="E21" s="47">
        <v>0.01</v>
      </c>
      <c r="F21" s="47">
        <v>0.03</v>
      </c>
      <c r="G21" s="37">
        <f t="shared" si="0"/>
        <v>2415019.5</v>
      </c>
      <c r="H21" s="37">
        <f>6.6925-'Data Entry-V'!$G$9+(24*((1.0027379093*(G21-2447892.5))-FLOOR(1.0027379093*(G21-2447892.5),1)))-(ROUNDDOWN(((6.6925-'Data Entry-V'!$G$9+(24*((1.0027379093*(G21-2447892.5))-FLOOR(1.0027379093*(G21-2447892.5),1))))/24),0)*24)</f>
        <v>6.6134819464012971</v>
      </c>
      <c r="I21" s="37">
        <f>H21-B21</f>
        <v>1.7699819464012974</v>
      </c>
      <c r="J21" s="37">
        <f t="shared" si="3"/>
        <v>26.549729196019459</v>
      </c>
      <c r="K21" s="37">
        <f t="shared" si="4"/>
        <v>26.549729196019459</v>
      </c>
      <c r="L21" s="37">
        <f t="shared" si="5"/>
        <v>-0.44697439267147876</v>
      </c>
      <c r="M21" s="37">
        <f>TAN(RADIANS(C21))*COS(RADIANS('Data Entry-V'!$F$8))-SIN(RADIANS('Data Entry-V'!$F$8))*COS(RADIANS(K21))</f>
        <v>0.15659582100431274</v>
      </c>
      <c r="N21" s="37">
        <f t="shared" si="6"/>
        <v>-70.692279913394344</v>
      </c>
      <c r="O21" s="147">
        <f t="shared" si="7"/>
        <v>289.30772008660563</v>
      </c>
      <c r="P21" s="149">
        <f>DEGREES(ASIN(COS(RADIANS(K21))*COS(RADIANS(C21))*COS(RADIANS('Data Entry-V'!$F$8))+SIN(RADIANS(C21))*SIN(RADIANS('Data Entry-V'!$F$8))))</f>
        <v>62.101305217664297</v>
      </c>
      <c r="Q21" s="37">
        <f t="shared" si="1"/>
        <v>1.1315080659251444</v>
      </c>
      <c r="R21" s="37">
        <f t="shared" si="2"/>
        <v>1.131217674452266</v>
      </c>
      <c r="S21" s="90"/>
      <c r="T21" s="90"/>
      <c r="U21" s="90"/>
      <c r="V21" s="90"/>
    </row>
    <row r="22" spans="1:22" x14ac:dyDescent="0.2">
      <c r="A22" s="43" t="s">
        <v>68</v>
      </c>
      <c r="B22" s="46">
        <v>4.9149000000000003</v>
      </c>
      <c r="C22" s="46">
        <v>10.1508</v>
      </c>
      <c r="D22" s="47">
        <v>4.66</v>
      </c>
      <c r="E22" s="47">
        <v>0.08</v>
      </c>
      <c r="F22" s="47">
        <v>0.08</v>
      </c>
      <c r="G22" s="37">
        <f t="shared" si="0"/>
        <v>2415019.5</v>
      </c>
      <c r="H22" s="37">
        <f>6.6925-'Data Entry-V'!$G$9+(24*((1.0027379093*(G22-2447892.5))-FLOOR(1.0027379093*(G22-2447892.5),1)))-(ROUNDDOWN(((6.6925-'Data Entry-V'!$G$9+(24*((1.0027379093*(G22-2447892.5))-FLOOR(1.0027379093*(G22-2447892.5),1))))/24),0)*24)</f>
        <v>6.6134819464012971</v>
      </c>
      <c r="I22" s="37">
        <f>H22-B22</f>
        <v>1.6985819464012968</v>
      </c>
      <c r="J22" s="37">
        <f t="shared" si="3"/>
        <v>25.478729196019451</v>
      </c>
      <c r="K22" s="37">
        <f t="shared" si="4"/>
        <v>25.478729196019451</v>
      </c>
      <c r="L22" s="37">
        <f t="shared" si="5"/>
        <v>-0.43017598636581633</v>
      </c>
      <c r="M22" s="37">
        <f>TAN(RADIANS(C22))*COS(RADIANS('Data Entry-V'!$F$8))-SIN(RADIANS('Data Entry-V'!$F$8))*COS(RADIANS(K22))</f>
        <v>0.17904203420232703</v>
      </c>
      <c r="N22" s="37">
        <f t="shared" si="6"/>
        <v>-67.40260493935952</v>
      </c>
      <c r="O22" s="147">
        <f t="shared" si="7"/>
        <v>292.59739506064045</v>
      </c>
      <c r="P22" s="149">
        <f>DEGREES(ASIN(COS(RADIANS(K22))*COS(RADIANS(C22))*COS(RADIANS('Data Entry-V'!$F$8))+SIN(RADIANS(C22))*SIN(RADIANS('Data Entry-V'!$F$8))))</f>
        <v>62.699678293849658</v>
      </c>
      <c r="Q22" s="37">
        <f t="shared" si="1"/>
        <v>1.1253471813359792</v>
      </c>
      <c r="R22" s="37">
        <f t="shared" si="2"/>
        <v>1.1250727746599496</v>
      </c>
      <c r="S22" s="90"/>
      <c r="T22" s="90"/>
      <c r="U22" s="90"/>
      <c r="V22" s="90"/>
    </row>
    <row r="23" spans="1:22" x14ac:dyDescent="0.2">
      <c r="A23" s="43" t="s">
        <v>69</v>
      </c>
      <c r="B23" s="46">
        <v>5.2781000000000002</v>
      </c>
      <c r="C23" s="46">
        <v>1.9473</v>
      </c>
      <c r="D23" s="47">
        <v>6.42</v>
      </c>
      <c r="E23" s="47">
        <v>-0.02</v>
      </c>
      <c r="F23" s="47">
        <v>0.02</v>
      </c>
      <c r="G23" s="37">
        <f t="shared" si="0"/>
        <v>2415019.5</v>
      </c>
      <c r="H23" s="37">
        <f>6.6925-'Data Entry-V'!$G$9+(24*((1.0027379093*(G23-2447892.5))-FLOOR(1.0027379093*(G23-2447892.5),1)))-(ROUNDDOWN(((6.6925-'Data Entry-V'!$G$9+(24*((1.0027379093*(G23-2447892.5))-FLOOR(1.0027379093*(G23-2447892.5),1))))/24),0)*24)</f>
        <v>6.6134819464012971</v>
      </c>
      <c r="I23" s="37">
        <f>H23-B23</f>
        <v>1.3353819464012968</v>
      </c>
      <c r="J23" s="37">
        <f t="shared" si="3"/>
        <v>20.03072919601945</v>
      </c>
      <c r="K23" s="37">
        <f t="shared" si="4"/>
        <v>20.03072919601945</v>
      </c>
      <c r="L23" s="37">
        <f t="shared" si="5"/>
        <v>-0.34252407536413487</v>
      </c>
      <c r="M23" s="37">
        <f>TAN(RADIANS(C23))*COS(RADIANS('Data Entry-V'!$F$8))-SIN(RADIANS('Data Entry-V'!$F$8))*COS(RADIANS(K23))</f>
        <v>3.3999888649258306E-2</v>
      </c>
      <c r="N23" s="37">
        <f t="shared" si="6"/>
        <v>-84.331231833375526</v>
      </c>
      <c r="O23" s="147">
        <f t="shared" si="7"/>
        <v>275.66876816662449</v>
      </c>
      <c r="P23" s="149">
        <f>DEGREES(ASIN(COS(RADIANS(K23))*COS(RADIANS(C23))*COS(RADIANS('Data Entry-V'!$F$8))+SIN(RADIANS(C23))*SIN(RADIANS('Data Entry-V'!$F$8))))</f>
        <v>69.878709859726527</v>
      </c>
      <c r="Q23" s="37">
        <f t="shared" si="1"/>
        <v>1.0650007338451166</v>
      </c>
      <c r="R23" s="37">
        <f t="shared" si="2"/>
        <v>1.0648703168761984</v>
      </c>
      <c r="S23" s="90"/>
      <c r="T23" s="90"/>
      <c r="U23" s="90"/>
      <c r="V23" s="90"/>
    </row>
    <row r="24" spans="1:22" x14ac:dyDescent="0.2">
      <c r="A24" s="43" t="s">
        <v>70</v>
      </c>
      <c r="B24" s="46">
        <v>5.4412000000000003</v>
      </c>
      <c r="C24" s="46">
        <v>6.8686999999999996</v>
      </c>
      <c r="D24" s="47">
        <v>6.42</v>
      </c>
      <c r="E24" s="47">
        <v>-0.02</v>
      </c>
      <c r="F24" s="47">
        <v>-0.05</v>
      </c>
      <c r="G24" s="37">
        <f t="shared" si="0"/>
        <v>2415019.5</v>
      </c>
      <c r="H24" s="37">
        <f>6.6925-'Data Entry-V'!$G$9+(24*((1.0027379093*(G24-2447892.5))-FLOOR(1.0027379093*(G24-2447892.5),1)))-(ROUNDDOWN(((6.6925-'Data Entry-V'!$G$9+(24*((1.0027379093*(G24-2447892.5))-FLOOR(1.0027379093*(G24-2447892.5),1))))/24),0)*24)</f>
        <v>6.6134819464012971</v>
      </c>
      <c r="I24" s="37">
        <f>H24-B24</f>
        <v>1.1722819464012968</v>
      </c>
      <c r="J24" s="37">
        <f t="shared" si="3"/>
        <v>17.58422919601945</v>
      </c>
      <c r="K24" s="37">
        <f t="shared" si="4"/>
        <v>17.58422919601945</v>
      </c>
      <c r="L24" s="37">
        <f t="shared" si="5"/>
        <v>-0.30210751122786095</v>
      </c>
      <c r="M24" s="37">
        <f>TAN(RADIANS(C24))*COS(RADIANS('Data Entry-V'!$F$8))-SIN(RADIANS('Data Entry-V'!$F$8))*COS(RADIANS(K24))</f>
        <v>0.12045904533323956</v>
      </c>
      <c r="N24" s="37">
        <f t="shared" si="6"/>
        <v>-68.261393218595416</v>
      </c>
      <c r="O24" s="147">
        <f t="shared" si="7"/>
        <v>291.7386067814046</v>
      </c>
      <c r="P24" s="149">
        <f>DEGREES(ASIN(COS(RADIANS(K24))*COS(RADIANS(C24))*COS(RADIANS('Data Entry-V'!$F$8))+SIN(RADIANS(C24))*SIN(RADIANS('Data Entry-V'!$F$8))))</f>
        <v>71.161419301830264</v>
      </c>
      <c r="Q24" s="37">
        <f t="shared" si="1"/>
        <v>1.0565998960841061</v>
      </c>
      <c r="R24" s="37">
        <f t="shared" si="2"/>
        <v>1.0564877482502892</v>
      </c>
      <c r="S24" s="90"/>
      <c r="T24" s="90"/>
      <c r="U24" s="90"/>
      <c r="V24" s="90"/>
    </row>
    <row r="25" spans="1:22" x14ac:dyDescent="0.2">
      <c r="A25" s="43" t="s">
        <v>71</v>
      </c>
      <c r="B25" s="46">
        <v>5.5712999999999999</v>
      </c>
      <c r="C25" s="46">
        <v>3.7667999999999999</v>
      </c>
      <c r="D25" s="47">
        <v>5.35</v>
      </c>
      <c r="E25" s="47">
        <v>0.04</v>
      </c>
      <c r="F25" s="47">
        <v>0.06</v>
      </c>
      <c r="G25" s="37">
        <f t="shared" si="0"/>
        <v>2415019.5</v>
      </c>
      <c r="H25" s="37">
        <f>6.6925-'Data Entry-V'!$G$9+(24*((1.0027379093*(G25-2447892.5))-FLOOR(1.0027379093*(G25-2447892.5),1)))-(ROUNDDOWN(((6.6925-'Data Entry-V'!$G$9+(24*((1.0027379093*(G25-2447892.5))-FLOOR(1.0027379093*(G25-2447892.5),1))))/24),0)*24)</f>
        <v>6.6134819464012971</v>
      </c>
      <c r="I25" s="37">
        <f>H25-B25</f>
        <v>1.0421819464012971</v>
      </c>
      <c r="J25" s="37">
        <f t="shared" si="3"/>
        <v>15.632729196019458</v>
      </c>
      <c r="K25" s="37">
        <f t="shared" si="4"/>
        <v>15.632729196019458</v>
      </c>
      <c r="L25" s="37">
        <f t="shared" si="5"/>
        <v>-0.26946996621311259</v>
      </c>
      <c r="M25" s="37">
        <f>TAN(RADIANS(C25))*COS(RADIANS('Data Entry-V'!$F$8))-SIN(RADIANS('Data Entry-V'!$F$8))*COS(RADIANS(K25))</f>
        <v>6.5837943434458743E-2</v>
      </c>
      <c r="N25" s="37">
        <f t="shared" si="6"/>
        <v>-76.270251071946589</v>
      </c>
      <c r="O25" s="147">
        <f t="shared" si="7"/>
        <v>283.72974892805343</v>
      </c>
      <c r="P25" s="149">
        <f>DEGREES(ASIN(COS(RADIANS(K25))*COS(RADIANS(C25))*COS(RADIANS('Data Entry-V'!$F$8))+SIN(RADIANS(C25))*SIN(RADIANS('Data Entry-V'!$F$8))))</f>
        <v>73.930866266791952</v>
      </c>
      <c r="Q25" s="37">
        <f t="shared" si="1"/>
        <v>1.0406602515912013</v>
      </c>
      <c r="R25" s="37">
        <f t="shared" si="2"/>
        <v>1.0405816010617288</v>
      </c>
      <c r="S25" s="90"/>
      <c r="T25" s="90"/>
      <c r="U25" s="90"/>
      <c r="V25" s="90"/>
    </row>
    <row r="26" spans="1:22" x14ac:dyDescent="0.2">
      <c r="A26" s="43" t="s">
        <v>72</v>
      </c>
      <c r="B26" s="46">
        <v>5.8887999999999998</v>
      </c>
      <c r="C26" s="46">
        <v>27.612300000000001</v>
      </c>
      <c r="D26" s="47">
        <v>4.6100000000000003</v>
      </c>
      <c r="E26" s="47">
        <v>-0.02</v>
      </c>
      <c r="F26" s="47">
        <v>0.01</v>
      </c>
      <c r="G26" s="37">
        <f t="shared" si="0"/>
        <v>2415019.5</v>
      </c>
      <c r="H26" s="37">
        <f>6.6925-'Data Entry-V'!$G$9+(24*((1.0027379093*(G26-2447892.5))-FLOOR(1.0027379093*(G26-2447892.5),1)))-(ROUNDDOWN(((6.6925-'Data Entry-V'!$G$9+(24*((1.0027379093*(G26-2447892.5))-FLOOR(1.0027379093*(G26-2447892.5),1))))/24),0)*24)</f>
        <v>6.6134819464012971</v>
      </c>
      <c r="I26" s="37">
        <f>H26-B26</f>
        <v>0.72468194640129724</v>
      </c>
      <c r="J26" s="37">
        <f t="shared" si="3"/>
        <v>10.870229196019459</v>
      </c>
      <c r="K26" s="37">
        <f t="shared" si="4"/>
        <v>10.870229196019459</v>
      </c>
      <c r="L26" s="37">
        <f t="shared" si="5"/>
        <v>-0.18858519316291023</v>
      </c>
      <c r="M26" s="37">
        <f>TAN(RADIANS(C26))*COS(RADIANS('Data Entry-V'!$F$8))-SIN(RADIANS('Data Entry-V'!$F$8))*COS(RADIANS(K26))</f>
        <v>0.52306074463900509</v>
      </c>
      <c r="N26" s="37">
        <f t="shared" si="6"/>
        <v>-19.826346177624167</v>
      </c>
      <c r="O26" s="147">
        <f t="shared" si="7"/>
        <v>340.17365382237585</v>
      </c>
      <c r="P26" s="149">
        <f>DEGREES(ASIN(COS(RADIANS(K26))*COS(RADIANS(C26))*COS(RADIANS('Data Entry-V'!$F$8))+SIN(RADIANS(C26))*SIN(RADIANS('Data Entry-V'!$F$8))))</f>
        <v>60.48242258216748</v>
      </c>
      <c r="Q26" s="37">
        <f t="shared" si="1"/>
        <v>1.1491550544227194</v>
      </c>
      <c r="R26" s="37">
        <f t="shared" si="2"/>
        <v>1.1488175309701323</v>
      </c>
      <c r="S26" s="90"/>
      <c r="T26" s="90"/>
      <c r="U26" s="90"/>
      <c r="V26" s="90"/>
    </row>
    <row r="27" spans="1:22" x14ac:dyDescent="0.2">
      <c r="A27" s="43" t="s">
        <v>73</v>
      </c>
      <c r="B27" s="46">
        <v>5.9804000000000004</v>
      </c>
      <c r="C27" s="46">
        <v>0.55300000000000005</v>
      </c>
      <c r="D27" s="47">
        <v>5.21</v>
      </c>
      <c r="E27" s="47">
        <v>0</v>
      </c>
      <c r="F27" s="47">
        <v>0.01</v>
      </c>
      <c r="G27" s="37">
        <f t="shared" si="0"/>
        <v>2415019.5</v>
      </c>
      <c r="H27" s="37">
        <f>6.6925-'Data Entry-V'!$G$9+(24*((1.0027379093*(G27-2447892.5))-FLOOR(1.0027379093*(G27-2447892.5),1)))-(ROUNDDOWN(((6.6925-'Data Entry-V'!$G$9+(24*((1.0027379093*(G27-2447892.5))-FLOOR(1.0027379093*(G27-2447892.5),1))))/24),0)*24)</f>
        <v>6.6134819464012971</v>
      </c>
      <c r="I27" s="37">
        <f>H27-B27</f>
        <v>0.63308194640129667</v>
      </c>
      <c r="J27" s="37">
        <f t="shared" si="3"/>
        <v>9.4962291960194491</v>
      </c>
      <c r="K27" s="37">
        <f t="shared" si="4"/>
        <v>9.4962291960194491</v>
      </c>
      <c r="L27" s="37">
        <f t="shared" si="5"/>
        <v>-0.16498269514332811</v>
      </c>
      <c r="M27" s="37">
        <f>TAN(RADIANS(C27))*COS(RADIANS('Data Entry-V'!$F$8))-SIN(RADIANS('Data Entry-V'!$F$8))*COS(RADIANS(K27))</f>
        <v>9.6519704743507247E-3</v>
      </c>
      <c r="N27" s="37">
        <f t="shared" si="6"/>
        <v>-86.651845536324316</v>
      </c>
      <c r="O27" s="147">
        <f t="shared" si="7"/>
        <v>273.34815446367566</v>
      </c>
      <c r="P27" s="149">
        <f>DEGREES(ASIN(COS(RADIANS(K27))*COS(RADIANS(C27))*COS(RADIANS('Data Entry-V'!$F$8))+SIN(RADIANS(C27))*SIN(RADIANS('Data Entry-V'!$F$8))))</f>
        <v>80.487830289390331</v>
      </c>
      <c r="Q27" s="37">
        <f t="shared" si="1"/>
        <v>1.0139411607425615</v>
      </c>
      <c r="R27" s="37">
        <f t="shared" si="2"/>
        <v>1.0139152812370162</v>
      </c>
      <c r="S27" s="90"/>
      <c r="T27" s="90"/>
      <c r="U27" s="90"/>
      <c r="V27" s="90"/>
    </row>
    <row r="28" spans="1:22" x14ac:dyDescent="0.2">
      <c r="A28" s="43" t="s">
        <v>74</v>
      </c>
      <c r="B28" s="46">
        <v>6.1494</v>
      </c>
      <c r="C28" s="46">
        <v>2.4996999999999998</v>
      </c>
      <c r="D28" s="47">
        <v>5.73</v>
      </c>
      <c r="E28" s="47">
        <v>0.06</v>
      </c>
      <c r="F28" s="47">
        <v>0.04</v>
      </c>
      <c r="G28" s="37">
        <f t="shared" si="0"/>
        <v>2415019.5</v>
      </c>
      <c r="H28" s="37">
        <f>6.6925-'Data Entry-V'!$G$9+(24*((1.0027379093*(G28-2447892.5))-FLOOR(1.0027379093*(G28-2447892.5),1)))-(ROUNDDOWN(((6.6925-'Data Entry-V'!$G$9+(24*((1.0027379093*(G28-2447892.5))-FLOOR(1.0027379093*(G28-2447892.5),1))))/24),0)*24)</f>
        <v>6.6134819464012971</v>
      </c>
      <c r="I28" s="37">
        <f>H28-B28</f>
        <v>0.46408194640129707</v>
      </c>
      <c r="J28" s="37">
        <f t="shared" si="3"/>
        <v>6.9612291960194561</v>
      </c>
      <c r="K28" s="37">
        <f t="shared" si="4"/>
        <v>6.9612291960194561</v>
      </c>
      <c r="L28" s="37">
        <f t="shared" si="5"/>
        <v>-0.12119768122828159</v>
      </c>
      <c r="M28" s="37">
        <f>TAN(RADIANS(C28))*COS(RADIANS('Data Entry-V'!$F$8))-SIN(RADIANS('Data Entry-V'!$F$8))*COS(RADIANS(K28))</f>
        <v>4.3655696940707367E-2</v>
      </c>
      <c r="N28" s="37">
        <f t="shared" si="6"/>
        <v>-70.190857598724691</v>
      </c>
      <c r="O28" s="147">
        <f t="shared" si="7"/>
        <v>289.80914240127532</v>
      </c>
      <c r="P28" s="149">
        <f>DEGREES(ASIN(COS(RADIANS(K28))*COS(RADIANS(C28))*COS(RADIANS('Data Entry-V'!$F$8))+SIN(RADIANS(C28))*SIN(RADIANS('Data Entry-V'!$F$8))))</f>
        <v>82.605648618698325</v>
      </c>
      <c r="Q28" s="37">
        <f t="shared" si="1"/>
        <v>1.0083858830839343</v>
      </c>
      <c r="R28" s="37">
        <f t="shared" si="2"/>
        <v>1.0083704508262683</v>
      </c>
      <c r="S28" s="90"/>
      <c r="T28" s="90"/>
      <c r="U28" s="90"/>
      <c r="V28" s="90"/>
    </row>
    <row r="29" spans="1:22" x14ac:dyDescent="0.2">
      <c r="A29" s="43" t="s">
        <v>75</v>
      </c>
      <c r="B29" s="46">
        <v>6.3140999999999998</v>
      </c>
      <c r="C29" s="46">
        <v>69.319800000000001</v>
      </c>
      <c r="D29" s="47">
        <v>4.79</v>
      </c>
      <c r="E29" s="47">
        <v>0.03</v>
      </c>
      <c r="F29" s="47">
        <v>-0.01</v>
      </c>
      <c r="G29" s="37">
        <f t="shared" si="0"/>
        <v>2415019.5</v>
      </c>
      <c r="H29" s="37">
        <f>6.6925-'Data Entry-V'!$G$9+(24*((1.0027379093*(G29-2447892.5))-FLOOR(1.0027379093*(G29-2447892.5),1)))-(ROUNDDOWN(((6.6925-'Data Entry-V'!$G$9+(24*((1.0027379093*(G29-2447892.5))-FLOOR(1.0027379093*(G29-2447892.5),1))))/24),0)*24)</f>
        <v>6.6134819464012971</v>
      </c>
      <c r="I29" s="37">
        <f>H29-B29</f>
        <v>0.29938194640129723</v>
      </c>
      <c r="J29" s="37">
        <f t="shared" si="3"/>
        <v>4.4907291960194584</v>
      </c>
      <c r="K29" s="37">
        <f t="shared" si="4"/>
        <v>4.4907291960194584</v>
      </c>
      <c r="L29" s="37">
        <f t="shared" si="5"/>
        <v>-7.829778744176849E-2</v>
      </c>
      <c r="M29" s="37">
        <f>TAN(RADIANS(C29))*COS(RADIANS('Data Entry-V'!$F$8))-SIN(RADIANS('Data Entry-V'!$F$8))*COS(RADIANS(K29))</f>
        <v>2.6491915725040278</v>
      </c>
      <c r="N29" s="37">
        <f t="shared" si="6"/>
        <v>-1.6929040753204279</v>
      </c>
      <c r="O29" s="147">
        <f t="shared" si="7"/>
        <v>358.30709592467957</v>
      </c>
      <c r="P29" s="149">
        <f>DEGREES(ASIN(COS(RADIANS(K29))*COS(RADIANS(C29))*COS(RADIANS('Data Entry-V'!$F$8))+SIN(RADIANS(C29))*SIN(RADIANS('Data Entry-V'!$F$8))))</f>
        <v>20.613817967787739</v>
      </c>
      <c r="Q29" s="37">
        <f t="shared" si="1"/>
        <v>2.8403653324643519</v>
      </c>
      <c r="R29" s="37">
        <f t="shared" si="2"/>
        <v>2.8222472714190503</v>
      </c>
      <c r="S29" s="90"/>
      <c r="T29" s="90"/>
      <c r="U29" s="90"/>
      <c r="V29" s="90"/>
    </row>
    <row r="30" spans="1:22" x14ac:dyDescent="0.2">
      <c r="A30" s="43" t="s">
        <v>76</v>
      </c>
      <c r="B30" s="46">
        <v>6.3270999999999997</v>
      </c>
      <c r="C30" s="46">
        <v>59.111199999999997</v>
      </c>
      <c r="D30" s="47">
        <v>4.47</v>
      </c>
      <c r="E30" s="47">
        <v>0.01</v>
      </c>
      <c r="F30" s="47">
        <v>0.03</v>
      </c>
      <c r="G30" s="37">
        <f t="shared" si="0"/>
        <v>2415019.5</v>
      </c>
      <c r="H30" s="37">
        <f>6.6925-'Data Entry-V'!$G$9+(24*((1.0027379093*(G30-2447892.5))-FLOOR(1.0027379093*(G30-2447892.5),1)))-(ROUNDDOWN(((6.6925-'Data Entry-V'!$G$9+(24*((1.0027379093*(G30-2447892.5))-FLOOR(1.0027379093*(G30-2447892.5),1))))/24),0)*24)</f>
        <v>6.6134819464012971</v>
      </c>
      <c r="I30" s="37">
        <f>H30-B30</f>
        <v>0.28638194640129733</v>
      </c>
      <c r="J30" s="37">
        <f t="shared" si="3"/>
        <v>4.2957291960194599</v>
      </c>
      <c r="K30" s="37">
        <f t="shared" si="4"/>
        <v>4.2957291960194599</v>
      </c>
      <c r="L30" s="37">
        <f t="shared" si="5"/>
        <v>-7.4904396845928506E-2</v>
      </c>
      <c r="M30" s="37">
        <f>TAN(RADIANS(C30))*COS(RADIANS('Data Entry-V'!$F$8))-SIN(RADIANS('Data Entry-V'!$F$8))*COS(RADIANS(K30))</f>
        <v>1.6716197025820052</v>
      </c>
      <c r="N30" s="37">
        <f t="shared" si="6"/>
        <v>-2.5656773681696006</v>
      </c>
      <c r="O30" s="147">
        <f t="shared" si="7"/>
        <v>357.43432263183041</v>
      </c>
      <c r="P30" s="149">
        <f>DEGREES(ASIN(COS(RADIANS(K30))*COS(RADIANS(C30))*COS(RADIANS('Data Entry-V'!$F$8))+SIN(RADIANS(C30))*SIN(RADIANS('Data Entry-V'!$F$8))))</f>
        <v>30.792558520121201</v>
      </c>
      <c r="Q30" s="37">
        <f t="shared" si="1"/>
        <v>1.9533871038049107</v>
      </c>
      <c r="R30" s="37">
        <f t="shared" si="2"/>
        <v>1.9483419796925865</v>
      </c>
      <c r="S30" s="90"/>
      <c r="T30" s="90"/>
      <c r="U30" s="90"/>
      <c r="V30" s="90"/>
    </row>
    <row r="31" spans="1:22" x14ac:dyDescent="0.2">
      <c r="A31" s="43" t="s">
        <v>77</v>
      </c>
      <c r="B31" s="46">
        <v>6.5795000000000003</v>
      </c>
      <c r="C31" s="46">
        <v>7.5724</v>
      </c>
      <c r="D31" s="47">
        <v>6.44</v>
      </c>
      <c r="E31" s="47">
        <v>-0.01</v>
      </c>
      <c r="F31" s="47">
        <v>-0.03</v>
      </c>
      <c r="G31" s="37">
        <f t="shared" si="0"/>
        <v>2415019.5</v>
      </c>
      <c r="H31" s="37">
        <f>6.6925-'Data Entry-V'!$G$9+(24*((1.0027379093*(G31-2447892.5))-FLOOR(1.0027379093*(G31-2447892.5),1)))-(ROUNDDOWN(((6.6925-'Data Entry-V'!$G$9+(24*((1.0027379093*(G31-2447892.5))-FLOOR(1.0027379093*(G31-2447892.5),1))))/24),0)*24)</f>
        <v>6.6134819464012971</v>
      </c>
      <c r="I31" s="37">
        <f>H31-B31</f>
        <v>3.3981946401296703E-2</v>
      </c>
      <c r="J31" s="37">
        <f t="shared" si="3"/>
        <v>0.50972919601945055</v>
      </c>
      <c r="K31" s="37">
        <f t="shared" si="4"/>
        <v>0.50972919601945055</v>
      </c>
      <c r="L31" s="37">
        <f t="shared" si="5"/>
        <v>-8.8963354101463544E-3</v>
      </c>
      <c r="M31" s="37">
        <f>TAN(RADIANS(C31))*COS(RADIANS('Data Entry-V'!$F$8))-SIN(RADIANS('Data Entry-V'!$F$8))*COS(RADIANS(K31))</f>
        <v>0.13293823205710484</v>
      </c>
      <c r="N31" s="37">
        <f t="shared" si="6"/>
        <v>-3.8285720315792213</v>
      </c>
      <c r="O31" s="147">
        <f t="shared" si="7"/>
        <v>356.1714279684208</v>
      </c>
      <c r="P31" s="149">
        <f>DEGREES(ASIN(COS(RADIANS(K31))*COS(RADIANS(C31))*COS(RADIANS('Data Entry-V'!$F$8))+SIN(RADIANS(C31))*SIN(RADIANS('Data Entry-V'!$F$8))))</f>
        <v>82.410563192998509</v>
      </c>
      <c r="Q31" s="37">
        <f t="shared" si="1"/>
        <v>1.0088375108972256</v>
      </c>
      <c r="R31" s="37">
        <f t="shared" si="2"/>
        <v>1.0088212359936806</v>
      </c>
      <c r="S31" s="90"/>
      <c r="T31" s="90"/>
      <c r="U31" s="90"/>
      <c r="V31" s="90"/>
    </row>
    <row r="32" spans="1:22" x14ac:dyDescent="0.2">
      <c r="A32" s="43" t="s">
        <v>78</v>
      </c>
      <c r="B32" s="46">
        <v>6.8609</v>
      </c>
      <c r="C32" s="46">
        <v>3.0419999999999998</v>
      </c>
      <c r="D32" s="47">
        <v>6.38</v>
      </c>
      <c r="E32" s="47">
        <v>0.04</v>
      </c>
      <c r="F32" s="47">
        <v>0.09</v>
      </c>
      <c r="G32" s="37">
        <f t="shared" si="0"/>
        <v>2415019.5</v>
      </c>
      <c r="H32" s="37">
        <f>6.6925-'Data Entry-V'!$G$9+(24*((1.0027379093*(G32-2447892.5))-FLOOR(1.0027379093*(G32-2447892.5),1)))-(ROUNDDOWN(((6.6925-'Data Entry-V'!$G$9+(24*((1.0027379093*(G32-2447892.5))-FLOOR(1.0027379093*(G32-2447892.5),1))))/24),0)*24)</f>
        <v>6.6134819464012971</v>
      </c>
      <c r="I32" s="37">
        <f>H32-B32</f>
        <v>-0.24741805359870295</v>
      </c>
      <c r="J32" s="37">
        <f t="shared" si="3"/>
        <v>-3.7112708039805442</v>
      </c>
      <c r="K32" s="37">
        <f t="shared" si="4"/>
        <v>356.28872919601946</v>
      </c>
      <c r="L32" s="37">
        <f t="shared" si="5"/>
        <v>6.4728609617702507E-2</v>
      </c>
      <c r="M32" s="37">
        <f>TAN(RADIANS(C32))*COS(RADIANS('Data Entry-V'!$F$8))-SIN(RADIANS('Data Entry-V'!$F$8))*COS(RADIANS(K32))</f>
        <v>5.3142859284915391E-2</v>
      </c>
      <c r="N32" s="37">
        <f t="shared" si="6"/>
        <v>50.613649867054825</v>
      </c>
      <c r="O32" s="147">
        <f t="shared" si="7"/>
        <v>50.613649867054825</v>
      </c>
      <c r="P32" s="149">
        <f>DEGREES(ASIN(COS(RADIANS(K32))*COS(RADIANS(C32))*COS(RADIANS('Data Entry-V'!$F$8))+SIN(RADIANS(C32))*SIN(RADIANS('Data Entry-V'!$F$8))))</f>
        <v>85.202672926140934</v>
      </c>
      <c r="Q32" s="37">
        <f t="shared" si="1"/>
        <v>1.0035155539723022</v>
      </c>
      <c r="R32" s="37">
        <f t="shared" si="2"/>
        <v>1.003509133807144</v>
      </c>
      <c r="S32" s="90"/>
      <c r="T32" s="90"/>
      <c r="U32" s="90"/>
      <c r="V32" s="90"/>
    </row>
    <row r="33" spans="1:22" x14ac:dyDescent="0.2">
      <c r="A33" s="43" t="s">
        <v>79</v>
      </c>
      <c r="B33" s="46">
        <v>6.9263000000000003</v>
      </c>
      <c r="C33" s="46">
        <v>8.3242999999999991</v>
      </c>
      <c r="D33" s="47">
        <v>6.28</v>
      </c>
      <c r="E33" s="47">
        <v>0.04</v>
      </c>
      <c r="F33" s="47">
        <v>0.06</v>
      </c>
      <c r="G33" s="37">
        <f t="shared" si="0"/>
        <v>2415019.5</v>
      </c>
      <c r="H33" s="37">
        <f>6.6925-'Data Entry-V'!$G$9+(24*((1.0027379093*(G33-2447892.5))-FLOOR(1.0027379093*(G33-2447892.5),1)))-(ROUNDDOWN(((6.6925-'Data Entry-V'!$G$9+(24*((1.0027379093*(G33-2447892.5))-FLOOR(1.0027379093*(G33-2447892.5),1))))/24),0)*24)</f>
        <v>6.6134819464012971</v>
      </c>
      <c r="I33" s="37">
        <f>H33-B33</f>
        <v>-0.31281805359870329</v>
      </c>
      <c r="J33" s="37">
        <f t="shared" si="3"/>
        <v>-4.6922708039805494</v>
      </c>
      <c r="K33" s="37">
        <f t="shared" si="4"/>
        <v>355.30772919601947</v>
      </c>
      <c r="L33" s="37">
        <f t="shared" si="5"/>
        <v>8.180406158206549E-2</v>
      </c>
      <c r="M33" s="37">
        <f>TAN(RADIANS(C33))*COS(RADIANS('Data Entry-V'!$F$8))-SIN(RADIANS('Data Entry-V'!$F$8))*COS(RADIANS(K33))</f>
        <v>0.14631739106374653</v>
      </c>
      <c r="N33" s="37">
        <f t="shared" si="6"/>
        <v>29.208961435469234</v>
      </c>
      <c r="O33" s="147">
        <f t="shared" si="7"/>
        <v>29.208961435469234</v>
      </c>
      <c r="P33" s="149">
        <f>DEGREES(ASIN(COS(RADIANS(K33))*COS(RADIANS(C33))*COS(RADIANS('Data Entry-V'!$F$8))+SIN(RADIANS(C33))*SIN(RADIANS('Data Entry-V'!$F$8))))</f>
        <v>80.452425818494817</v>
      </c>
      <c r="Q33" s="37">
        <f t="shared" si="1"/>
        <v>1.0140463487334035</v>
      </c>
      <c r="R33" s="37">
        <f t="shared" si="2"/>
        <v>1.0140202696821428</v>
      </c>
      <c r="S33" s="90"/>
      <c r="T33" s="90"/>
      <c r="U33" s="90"/>
      <c r="V33" s="90"/>
    </row>
    <row r="34" spans="1:22" x14ac:dyDescent="0.2">
      <c r="A34" s="43" t="s">
        <v>80</v>
      </c>
      <c r="B34" s="46">
        <v>6.9603000000000002</v>
      </c>
      <c r="C34" s="46">
        <v>45.940800000000003</v>
      </c>
      <c r="D34" s="47">
        <v>4.9000000000000004</v>
      </c>
      <c r="E34" s="47">
        <v>0.04</v>
      </c>
      <c r="F34" s="47">
        <v>0.03</v>
      </c>
      <c r="G34" s="37">
        <f t="shared" ref="G34:G65" si="8">IF($U$3&gt;0.5,($U$2+2415019)+((((HOUR($U$3)*60)+MINUTE($U$3))/1440+DAY($U$2))-0.5)-DAY($U$2),($U$2+2415019)+((((HOUR($U$3)*60)+MINUTE($U$3))/1440+DAY($U$2))-0.5)-DAY($U$2)+1)</f>
        <v>2415019.5</v>
      </c>
      <c r="H34" s="37">
        <f>6.6925-'Data Entry-V'!$G$9+(24*((1.0027379093*(G34-2447892.5))-FLOOR(1.0027379093*(G34-2447892.5),1)))-(ROUNDDOWN(((6.6925-'Data Entry-V'!$G$9+(24*((1.0027379093*(G34-2447892.5))-FLOOR(1.0027379093*(G34-2447892.5),1))))/24),0)*24)</f>
        <v>6.6134819464012971</v>
      </c>
      <c r="I34" s="37">
        <f>H34-B34</f>
        <v>-0.3468180535987031</v>
      </c>
      <c r="J34" s="37">
        <f t="shared" si="3"/>
        <v>-5.2022708039805465</v>
      </c>
      <c r="K34" s="37">
        <f t="shared" si="4"/>
        <v>354.79772919601947</v>
      </c>
      <c r="L34" s="37">
        <f t="shared" si="5"/>
        <v>9.0672050019060813E-2</v>
      </c>
      <c r="M34" s="37">
        <f>TAN(RADIANS(C34))*COS(RADIANS('Data Entry-V'!$F$8))-SIN(RADIANS('Data Entry-V'!$F$8))*COS(RADIANS(K34))</f>
        <v>1.033391405031381</v>
      </c>
      <c r="N34" s="37">
        <f t="shared" si="6"/>
        <v>5.0144167143896414</v>
      </c>
      <c r="O34" s="147">
        <f t="shared" si="7"/>
        <v>5.0144167143896414</v>
      </c>
      <c r="P34" s="149">
        <f>DEGREES(ASIN(COS(RADIANS(K34))*COS(RADIANS(C34))*COS(RADIANS('Data Entry-V'!$F$8))+SIN(RADIANS(C34))*SIN(RADIANS('Data Entry-V'!$F$8))))</f>
        <v>43.83125188236076</v>
      </c>
      <c r="Q34" s="37">
        <f t="shared" ref="Q34:Q65" si="9">1/(COS(2*ATAN(1)-(P34*(ATAN(1)/45))))</f>
        <v>1.4439666842237513</v>
      </c>
      <c r="R34" s="37">
        <f t="shared" ref="R34:R65" si="10">IF(P34&gt;10,Q34-((Q34-1)*(0.0018161+(Q34-1)*(0.002875+(Q34-1)*0.0008083))),"")</f>
        <v>1.442522982112646</v>
      </c>
      <c r="S34" s="90"/>
      <c r="T34" s="90"/>
      <c r="U34" s="90"/>
      <c r="V34" s="90"/>
    </row>
    <row r="35" spans="1:22" x14ac:dyDescent="0.2">
      <c r="A35" s="43" t="s">
        <v>81</v>
      </c>
      <c r="B35" s="46">
        <v>7.0282</v>
      </c>
      <c r="C35" s="46">
        <v>4.8181000000000003</v>
      </c>
      <c r="D35" s="47">
        <v>6.63</v>
      </c>
      <c r="E35" s="47">
        <v>0.06</v>
      </c>
      <c r="F35" s="47">
        <v>0.09</v>
      </c>
      <c r="G35" s="37">
        <f t="shared" si="8"/>
        <v>2415019.5</v>
      </c>
      <c r="H35" s="37">
        <f>6.6925-'Data Entry-V'!$G$9+(24*((1.0027379093*(G35-2447892.5))-FLOOR(1.0027379093*(G35-2447892.5),1)))-(ROUNDDOWN(((6.6925-'Data Entry-V'!$G$9+(24*((1.0027379093*(G35-2447892.5))-FLOOR(1.0027379093*(G35-2447892.5),1))))/24),0)*24)</f>
        <v>6.6134819464012971</v>
      </c>
      <c r="I35" s="37">
        <f>H35-B35</f>
        <v>-0.41471805359870295</v>
      </c>
      <c r="J35" s="37">
        <f t="shared" si="3"/>
        <v>-6.2207708039805443</v>
      </c>
      <c r="K35" s="37">
        <f t="shared" si="4"/>
        <v>353.77922919601946</v>
      </c>
      <c r="L35" s="37">
        <f t="shared" si="5"/>
        <v>0.10835974713302926</v>
      </c>
      <c r="M35" s="37">
        <f>TAN(RADIANS(C35))*COS(RADIANS('Data Entry-V'!$F$8))-SIN(RADIANS('Data Entry-V'!$F$8))*COS(RADIANS(K35))</f>
        <v>8.4290486769488276E-2</v>
      </c>
      <c r="N35" s="37">
        <f t="shared" si="6"/>
        <v>52.121496801364657</v>
      </c>
      <c r="O35" s="147">
        <f t="shared" si="7"/>
        <v>52.121496801364657</v>
      </c>
      <c r="P35" s="149">
        <f>DEGREES(ASIN(COS(RADIANS(K35))*COS(RADIANS(C35))*COS(RADIANS('Data Entry-V'!$F$8))+SIN(RADIANS(C35))*SIN(RADIANS('Data Entry-V'!$F$8))))</f>
        <v>82.137383019227386</v>
      </c>
      <c r="Q35" s="37">
        <f t="shared" si="9"/>
        <v>1.0094902898619127</v>
      </c>
      <c r="R35" s="37">
        <f t="shared" si="10"/>
        <v>1.0094727949169964</v>
      </c>
      <c r="S35" s="90"/>
      <c r="T35" s="90"/>
      <c r="U35" s="90"/>
      <c r="V35" s="90"/>
    </row>
    <row r="36" spans="1:22" x14ac:dyDescent="0.2">
      <c r="A36" s="43" t="s">
        <v>82</v>
      </c>
      <c r="B36" s="46">
        <v>7.0723000000000003</v>
      </c>
      <c r="C36" s="46">
        <v>1.4884999999999999</v>
      </c>
      <c r="D36" s="47">
        <v>6.56</v>
      </c>
      <c r="E36" s="47">
        <v>0.01</v>
      </c>
      <c r="F36" s="47">
        <v>-7.0000000000000007E-2</v>
      </c>
      <c r="G36" s="37">
        <f t="shared" si="8"/>
        <v>2415019.5</v>
      </c>
      <c r="H36" s="37">
        <f>6.6925-'Data Entry-V'!$G$9+(24*((1.0027379093*(G36-2447892.5))-FLOOR(1.0027379093*(G36-2447892.5),1)))-(ROUNDDOWN(((6.6925-'Data Entry-V'!$G$9+(24*((1.0027379093*(G36-2447892.5))-FLOOR(1.0027379093*(G36-2447892.5),1))))/24),0)*24)</f>
        <v>6.6134819464012971</v>
      </c>
      <c r="I36" s="37">
        <f>H36-B36</f>
        <v>-0.4588180535987032</v>
      </c>
      <c r="J36" s="37">
        <f t="shared" si="3"/>
        <v>-6.882270803980548</v>
      </c>
      <c r="K36" s="37">
        <f t="shared" si="4"/>
        <v>353.11772919601947</v>
      </c>
      <c r="L36" s="37">
        <f t="shared" si="5"/>
        <v>0.11982964136009268</v>
      </c>
      <c r="M36" s="37">
        <f>TAN(RADIANS(C36))*COS(RADIANS('Data Entry-V'!$F$8))-SIN(RADIANS('Data Entry-V'!$F$8))*COS(RADIANS(K36))</f>
        <v>2.5985072128834965E-2</v>
      </c>
      <c r="N36" s="37">
        <f t="shared" si="6"/>
        <v>77.764837906831161</v>
      </c>
      <c r="O36" s="147">
        <f t="shared" si="7"/>
        <v>77.764837906831161</v>
      </c>
      <c r="P36" s="149">
        <f>DEGREES(ASIN(COS(RADIANS(K36))*COS(RADIANS(C36))*COS(RADIANS('Data Entry-V'!$F$8))+SIN(RADIANS(C36))*SIN(RADIANS('Data Entry-V'!$F$8))))</f>
        <v>82.959359623174649</v>
      </c>
      <c r="Q36" s="37">
        <f t="shared" si="9"/>
        <v>1.0075978327519064</v>
      </c>
      <c r="R36" s="37">
        <f t="shared" si="10"/>
        <v>1.00758386800802</v>
      </c>
      <c r="S36" s="90"/>
      <c r="T36" s="90"/>
      <c r="U36" s="90"/>
      <c r="V36" s="90"/>
    </row>
    <row r="37" spans="1:22" x14ac:dyDescent="0.2">
      <c r="A37" s="43" t="s">
        <v>83</v>
      </c>
      <c r="B37" s="46">
        <v>7.1976000000000004</v>
      </c>
      <c r="C37" s="46">
        <v>5.6547000000000001</v>
      </c>
      <c r="D37" s="47">
        <v>6.08</v>
      </c>
      <c r="E37" s="47">
        <v>-0.02</v>
      </c>
      <c r="F37" s="47">
        <v>-0.05</v>
      </c>
      <c r="G37" s="37">
        <f t="shared" si="8"/>
        <v>2415019.5</v>
      </c>
      <c r="H37" s="37">
        <f>6.6925-'Data Entry-V'!$G$9+(24*((1.0027379093*(G37-2447892.5))-FLOOR(1.0027379093*(G37-2447892.5),1)))-(ROUNDDOWN(((6.6925-'Data Entry-V'!$G$9+(24*((1.0027379093*(G37-2447892.5))-FLOOR(1.0027379093*(G37-2447892.5),1))))/24),0)*24)</f>
        <v>6.6134819464012971</v>
      </c>
      <c r="I37" s="37">
        <f>H37-B37</f>
        <v>-0.58411805359870339</v>
      </c>
      <c r="J37" s="37">
        <f t="shared" si="3"/>
        <v>-8.76177080398055</v>
      </c>
      <c r="K37" s="37">
        <f t="shared" si="4"/>
        <v>351.23822919601946</v>
      </c>
      <c r="L37" s="37">
        <f t="shared" si="5"/>
        <v>0.15232643126038081</v>
      </c>
      <c r="M37" s="37">
        <f>TAN(RADIANS(C37))*COS(RADIANS('Data Entry-V'!$F$8))-SIN(RADIANS('Data Entry-V'!$F$8))*COS(RADIANS(K37))</f>
        <v>9.9014821322143121E-2</v>
      </c>
      <c r="N37" s="37">
        <f t="shared" si="6"/>
        <v>56.975434114481473</v>
      </c>
      <c r="O37" s="147">
        <f t="shared" si="7"/>
        <v>56.975434114481473</v>
      </c>
      <c r="P37" s="149">
        <f>DEGREES(ASIN(COS(RADIANS(K37))*COS(RADIANS(C37))*COS(RADIANS('Data Entry-V'!$F$8))+SIN(RADIANS(C37))*SIN(RADIANS('Data Entry-V'!$F$8))))</f>
        <v>79.583932686435944</v>
      </c>
      <c r="Q37" s="37">
        <f t="shared" si="9"/>
        <v>1.0167553042454696</v>
      </c>
      <c r="R37" s="37">
        <f t="shared" si="10"/>
        <v>1.0167240640071433</v>
      </c>
      <c r="S37" s="90"/>
      <c r="T37" s="90"/>
      <c r="U37" s="90"/>
      <c r="V37" s="90"/>
    </row>
    <row r="38" spans="1:22" x14ac:dyDescent="0.2">
      <c r="A38" s="43" t="s">
        <v>84</v>
      </c>
      <c r="B38" s="46">
        <v>7.3089000000000004</v>
      </c>
      <c r="C38" s="46">
        <v>49.464799999999997</v>
      </c>
      <c r="D38" s="47">
        <v>5.04</v>
      </c>
      <c r="E38" s="47">
        <v>0.08</v>
      </c>
      <c r="F38" s="47">
        <v>0.09</v>
      </c>
      <c r="G38" s="37">
        <f t="shared" si="8"/>
        <v>2415019.5</v>
      </c>
      <c r="H38" s="37">
        <f>6.6925-'Data Entry-V'!$G$9+(24*((1.0027379093*(G38-2447892.5))-FLOOR(1.0027379093*(G38-2447892.5),1)))-(ROUNDDOWN(((6.6925-'Data Entry-V'!$G$9+(24*((1.0027379093*(G38-2447892.5))-FLOOR(1.0027379093*(G38-2447892.5),1))))/24),0)*24)</f>
        <v>6.6134819464012971</v>
      </c>
      <c r="I38" s="37">
        <f>H38-B38</f>
        <v>-0.69541805359870335</v>
      </c>
      <c r="J38" s="37">
        <f t="shared" si="3"/>
        <v>-10.431270803980549</v>
      </c>
      <c r="K38" s="37">
        <f t="shared" si="4"/>
        <v>349.56872919601943</v>
      </c>
      <c r="L38" s="37">
        <f t="shared" si="5"/>
        <v>0.18105593048928328</v>
      </c>
      <c r="M38" s="37">
        <f>TAN(RADIANS(C38))*COS(RADIANS('Data Entry-V'!$F$8))-SIN(RADIANS('Data Entry-V'!$F$8))*COS(RADIANS(K38))</f>
        <v>1.1693940434563106</v>
      </c>
      <c r="N38" s="37">
        <f t="shared" si="6"/>
        <v>8.8011564180790582</v>
      </c>
      <c r="O38" s="147">
        <f t="shared" si="7"/>
        <v>8.8011564180790582</v>
      </c>
      <c r="P38" s="149">
        <f>DEGREES(ASIN(COS(RADIANS(K38))*COS(RADIANS(C38))*COS(RADIANS('Data Entry-V'!$F$8))+SIN(RADIANS(C38))*SIN(RADIANS('Data Entry-V'!$F$8))))</f>
        <v>39.730240114530176</v>
      </c>
      <c r="Q38" s="37">
        <f t="shared" si="9"/>
        <v>1.5645196736855</v>
      </c>
      <c r="R38" s="37">
        <f t="shared" si="10"/>
        <v>1.5624328222214656</v>
      </c>
      <c r="S38" s="90"/>
      <c r="T38" s="90"/>
      <c r="U38" s="90"/>
      <c r="V38" s="90"/>
    </row>
    <row r="39" spans="1:22" x14ac:dyDescent="0.2">
      <c r="A39" s="43" t="s">
        <v>85</v>
      </c>
      <c r="B39" s="46">
        <v>7.4451999999999998</v>
      </c>
      <c r="C39" s="46">
        <v>49.211199999999998</v>
      </c>
      <c r="D39" s="47">
        <v>4.63</v>
      </c>
      <c r="E39" s="47">
        <v>-0.02</v>
      </c>
      <c r="F39" s="47">
        <v>-0.02</v>
      </c>
      <c r="G39" s="37">
        <f t="shared" si="8"/>
        <v>2415019.5</v>
      </c>
      <c r="H39" s="37">
        <f>6.6925-'Data Entry-V'!$G$9+(24*((1.0027379093*(G39-2447892.5))-FLOOR(1.0027379093*(G39-2447892.5),1)))-(ROUNDDOWN(((6.6925-'Data Entry-V'!$G$9+(24*((1.0027379093*(G39-2447892.5))-FLOOR(1.0027379093*(G39-2447892.5),1))))/24),0)*24)</f>
        <v>6.6134819464012971</v>
      </c>
      <c r="I39" s="37">
        <f>H39-B39</f>
        <v>-0.83171805359870277</v>
      </c>
      <c r="J39" s="37">
        <f t="shared" si="3"/>
        <v>-12.475770803980542</v>
      </c>
      <c r="K39" s="37">
        <f t="shared" si="4"/>
        <v>347.52422919601946</v>
      </c>
      <c r="L39" s="37">
        <f t="shared" si="5"/>
        <v>0.21602673927877739</v>
      </c>
      <c r="M39" s="37">
        <f>TAN(RADIANS(C39))*COS(RADIANS('Data Entry-V'!$F$8))-SIN(RADIANS('Data Entry-V'!$F$8))*COS(RADIANS(K39))</f>
        <v>1.1589690899462681</v>
      </c>
      <c r="N39" s="37">
        <f t="shared" si="6"/>
        <v>10.55851467353086</v>
      </c>
      <c r="O39" s="147">
        <f t="shared" si="7"/>
        <v>10.55851467353086</v>
      </c>
      <c r="P39" s="149">
        <f>DEGREES(ASIN(COS(RADIANS(K39))*COS(RADIANS(C39))*COS(RADIANS('Data Entry-V'!$F$8))+SIN(RADIANS(C39))*SIN(RADIANS('Data Entry-V'!$F$8))))</f>
        <v>39.631476003671047</v>
      </c>
      <c r="Q39" s="37">
        <f t="shared" si="9"/>
        <v>1.5677736411631056</v>
      </c>
      <c r="R39" s="37">
        <f t="shared" si="10"/>
        <v>1.5656677582868126</v>
      </c>
      <c r="S39" s="90"/>
      <c r="T39" s="90"/>
      <c r="U39" s="90"/>
      <c r="V39" s="90"/>
    </row>
    <row r="40" spans="1:22" x14ac:dyDescent="0.2">
      <c r="A40" s="43" t="s">
        <v>86</v>
      </c>
      <c r="B40" s="46">
        <v>7.7168000000000001</v>
      </c>
      <c r="C40" s="46">
        <v>58.710099999999997</v>
      </c>
      <c r="D40" s="47">
        <v>4.99</v>
      </c>
      <c r="E40" s="47">
        <v>0.08</v>
      </c>
      <c r="F40" s="47">
        <v>0.09</v>
      </c>
      <c r="G40" s="37">
        <f t="shared" si="8"/>
        <v>2415019.5</v>
      </c>
      <c r="H40" s="37">
        <f>6.6925-'Data Entry-V'!$G$9+(24*((1.0027379093*(G40-2447892.5))-FLOOR(1.0027379093*(G40-2447892.5),1)))-(ROUNDDOWN(((6.6925-'Data Entry-V'!$G$9+(24*((1.0027379093*(G40-2447892.5))-FLOOR(1.0027379093*(G40-2447892.5),1))))/24),0)*24)</f>
        <v>6.6134819464012971</v>
      </c>
      <c r="I40" s="37">
        <f>H40-B40</f>
        <v>-1.1033180535987031</v>
      </c>
      <c r="J40" s="37">
        <f t="shared" si="3"/>
        <v>-16.549770803980547</v>
      </c>
      <c r="K40" s="37">
        <f t="shared" si="4"/>
        <v>343.45022919601945</v>
      </c>
      <c r="L40" s="37">
        <f t="shared" si="5"/>
        <v>0.28484813001382853</v>
      </c>
      <c r="M40" s="37">
        <f>TAN(RADIANS(C40))*COS(RADIANS('Data Entry-V'!$F$8))-SIN(RADIANS('Data Entry-V'!$F$8))*COS(RADIANS(K40))</f>
        <v>1.6453643752967708</v>
      </c>
      <c r="N40" s="37">
        <f t="shared" si="6"/>
        <v>9.821786536359614</v>
      </c>
      <c r="O40" s="147">
        <f t="shared" si="7"/>
        <v>9.821786536359614</v>
      </c>
      <c r="P40" s="149">
        <f>DEGREES(ASIN(COS(RADIANS(K40))*COS(RADIANS(C40))*COS(RADIANS('Data Entry-V'!$F$8))+SIN(RADIANS(C40))*SIN(RADIANS('Data Entry-V'!$F$8))))</f>
        <v>29.858019080314158</v>
      </c>
      <c r="Q40" s="37">
        <f t="shared" si="9"/>
        <v>2.0086273510081254</v>
      </c>
      <c r="R40" s="37">
        <f t="shared" si="10"/>
        <v>2.0030413601473187</v>
      </c>
      <c r="S40" s="90"/>
      <c r="T40" s="90"/>
      <c r="U40" s="90"/>
      <c r="V40" s="90"/>
    </row>
    <row r="41" spans="1:22" x14ac:dyDescent="0.2">
      <c r="A41" s="43" t="s">
        <v>23</v>
      </c>
      <c r="B41" s="46">
        <v>7.8916000000000004</v>
      </c>
      <c r="C41" s="46">
        <v>26.765799999999999</v>
      </c>
      <c r="D41" s="47">
        <v>4.99</v>
      </c>
      <c r="E41" s="47">
        <v>0.09</v>
      </c>
      <c r="F41" s="47">
        <v>0.12</v>
      </c>
      <c r="G41" s="37">
        <f t="shared" si="8"/>
        <v>2415019.5</v>
      </c>
      <c r="H41" s="37">
        <f>6.6925-'Data Entry-V'!$G$9+(24*((1.0027379093*(G41-2447892.5))-FLOOR(1.0027379093*(G41-2447892.5),1)))-(ROUNDDOWN(((6.6925-'Data Entry-V'!$G$9+(24*((1.0027379093*(G41-2447892.5))-FLOOR(1.0027379093*(G41-2447892.5),1))))/24),0)*24)</f>
        <v>6.6134819464012971</v>
      </c>
      <c r="I41" s="37">
        <f>H41-B41</f>
        <v>-1.2781180535987033</v>
      </c>
      <c r="J41" s="37">
        <f t="shared" si="3"/>
        <v>-19.17177080398055</v>
      </c>
      <c r="K41" s="37">
        <f t="shared" si="4"/>
        <v>340.82822919601944</v>
      </c>
      <c r="L41" s="37">
        <f t="shared" si="5"/>
        <v>0.32840131976669673</v>
      </c>
      <c r="M41" s="37">
        <f>TAN(RADIANS(C41))*COS(RADIANS('Data Entry-V'!$F$8))-SIN(RADIANS('Data Entry-V'!$F$8))*COS(RADIANS(K41))</f>
        <v>0.50438736392990213</v>
      </c>
      <c r="N41" s="37">
        <f t="shared" si="6"/>
        <v>33.067729094571767</v>
      </c>
      <c r="O41" s="147">
        <f t="shared" si="7"/>
        <v>33.067729094571767</v>
      </c>
      <c r="P41" s="149">
        <f>DEGREES(ASIN(COS(RADIANS(K41))*COS(RADIANS(C41))*COS(RADIANS('Data Entry-V'!$F$8))+SIN(RADIANS(C41))*SIN(RADIANS('Data Entry-V'!$F$8))))</f>
        <v>57.494038048895121</v>
      </c>
      <c r="Q41" s="37">
        <f t="shared" si="9"/>
        <v>1.1857676593130486</v>
      </c>
      <c r="R41" s="37">
        <f t="shared" si="10"/>
        <v>1.1853258896731815</v>
      </c>
      <c r="S41" s="90"/>
      <c r="T41" s="90"/>
      <c r="U41" s="90"/>
      <c r="V41" s="90"/>
    </row>
    <row r="42" spans="1:22" x14ac:dyDescent="0.2">
      <c r="A42" s="43" t="s">
        <v>87</v>
      </c>
      <c r="B42" s="46">
        <v>8.0205000000000002</v>
      </c>
      <c r="C42" s="46">
        <v>4.8666999999999998</v>
      </c>
      <c r="D42" s="47">
        <v>5.64</v>
      </c>
      <c r="E42" s="47">
        <v>0.08</v>
      </c>
      <c r="F42" s="47">
        <v>0.01</v>
      </c>
      <c r="G42" s="37">
        <f t="shared" si="8"/>
        <v>2415019.5</v>
      </c>
      <c r="H42" s="37">
        <f>6.6925-'Data Entry-V'!$G$9+(24*((1.0027379093*(G42-2447892.5))-FLOOR(1.0027379093*(G42-2447892.5),1)))-(ROUNDDOWN(((6.6925-'Data Entry-V'!$G$9+(24*((1.0027379093*(G42-2447892.5))-FLOOR(1.0027379093*(G42-2447892.5),1))))/24),0)*24)</f>
        <v>6.6134819464012971</v>
      </c>
      <c r="I42" s="37">
        <f>H42-B42</f>
        <v>-1.4070180535987031</v>
      </c>
      <c r="J42" s="37">
        <f t="shared" si="3"/>
        <v>-21.105270803980545</v>
      </c>
      <c r="K42" s="37">
        <f t="shared" si="4"/>
        <v>338.89472919601945</v>
      </c>
      <c r="L42" s="37">
        <f t="shared" si="5"/>
        <v>0.36008263168267485</v>
      </c>
      <c r="M42" s="37">
        <f>TAN(RADIANS(C42))*COS(RADIANS('Data Entry-V'!$F$8))-SIN(RADIANS('Data Entry-V'!$F$8))*COS(RADIANS(K42))</f>
        <v>8.5144804650335609E-2</v>
      </c>
      <c r="N42" s="37">
        <f t="shared" si="6"/>
        <v>76.69625108763006</v>
      </c>
      <c r="O42" s="147">
        <f t="shared" si="7"/>
        <v>76.69625108763006</v>
      </c>
      <c r="P42" s="149">
        <f>DEGREES(ASIN(COS(RADIANS(K42))*COS(RADIANS(C42))*COS(RADIANS('Data Entry-V'!$F$8))+SIN(RADIANS(C42))*SIN(RADIANS('Data Entry-V'!$F$8))))</f>
        <v>68.365867907284866</v>
      </c>
      <c r="Q42" s="37">
        <f t="shared" si="9"/>
        <v>1.0757812329496181</v>
      </c>
      <c r="R42" s="37">
        <f t="shared" si="10"/>
        <v>1.0756267443470522</v>
      </c>
      <c r="S42" s="90"/>
      <c r="T42" s="90"/>
      <c r="U42" s="90"/>
      <c r="V42" s="90"/>
    </row>
    <row r="43" spans="1:22" x14ac:dyDescent="0.2">
      <c r="A43" s="43" t="s">
        <v>88</v>
      </c>
      <c r="B43" s="46">
        <v>8.1409000000000002</v>
      </c>
      <c r="C43" s="46">
        <v>51.506700000000002</v>
      </c>
      <c r="D43" s="47">
        <v>4.84</v>
      </c>
      <c r="E43" s="47">
        <v>0.05</v>
      </c>
      <c r="F43" s="47">
        <v>0</v>
      </c>
      <c r="G43" s="37">
        <f t="shared" si="8"/>
        <v>2415019.5</v>
      </c>
      <c r="H43" s="37">
        <f>6.6925-'Data Entry-V'!$G$9+(24*((1.0027379093*(G43-2447892.5))-FLOOR(1.0027379093*(G43-2447892.5),1)))-(ROUNDDOWN(((6.6925-'Data Entry-V'!$G$9+(24*((1.0027379093*(G43-2447892.5))-FLOOR(1.0027379093*(G43-2447892.5),1))))/24),0)*24)</f>
        <v>6.6134819464012971</v>
      </c>
      <c r="I43" s="37">
        <f>H43-B43</f>
        <v>-1.5274180535987032</v>
      </c>
      <c r="J43" s="37">
        <f t="shared" si="3"/>
        <v>-22.91127080398055</v>
      </c>
      <c r="K43" s="37">
        <f t="shared" si="4"/>
        <v>337.08872919601947</v>
      </c>
      <c r="L43" s="37">
        <f t="shared" si="5"/>
        <v>0.38930515142225414</v>
      </c>
      <c r="M43" s="37">
        <f>TAN(RADIANS(C43))*COS(RADIANS('Data Entry-V'!$F$8))-SIN(RADIANS('Data Entry-V'!$F$8))*COS(RADIANS(K43))</f>
        <v>1.2574740972880019</v>
      </c>
      <c r="N43" s="37">
        <f t="shared" si="6"/>
        <v>17.202157761962209</v>
      </c>
      <c r="O43" s="147">
        <f t="shared" si="7"/>
        <v>17.202157761962209</v>
      </c>
      <c r="P43" s="149">
        <f>DEGREES(ASIN(COS(RADIANS(K43))*COS(RADIANS(C43))*COS(RADIANS('Data Entry-V'!$F$8))+SIN(RADIANS(C43))*SIN(RADIANS('Data Entry-V'!$F$8))))</f>
        <v>34.982026035098023</v>
      </c>
      <c r="Q43" s="37">
        <f t="shared" si="9"/>
        <v>1.7442283253417672</v>
      </c>
      <c r="R43" s="37">
        <f t="shared" si="10"/>
        <v>1.7409511499635206</v>
      </c>
      <c r="S43" s="90"/>
      <c r="T43" s="90"/>
      <c r="U43" s="90"/>
      <c r="V43" s="90"/>
    </row>
    <row r="44" spans="1:22" x14ac:dyDescent="0.2">
      <c r="A44" s="43" t="s">
        <v>89</v>
      </c>
      <c r="B44" s="46">
        <v>8.6278000000000006</v>
      </c>
      <c r="C44" s="46">
        <v>5.7038000000000002</v>
      </c>
      <c r="D44" s="47">
        <v>4.17</v>
      </c>
      <c r="E44" s="47">
        <v>0</v>
      </c>
      <c r="F44" s="47">
        <v>0.02</v>
      </c>
      <c r="G44" s="37">
        <f t="shared" si="8"/>
        <v>2415019.5</v>
      </c>
      <c r="H44" s="37">
        <f>6.6925-'Data Entry-V'!$G$9+(24*((1.0027379093*(G44-2447892.5))-FLOOR(1.0027379093*(G44-2447892.5),1)))-(ROUNDDOWN(((6.6925-'Data Entry-V'!$G$9+(24*((1.0027379093*(G44-2447892.5))-FLOOR(1.0027379093*(G44-2447892.5),1))))/24),0)*24)</f>
        <v>6.6134819464012971</v>
      </c>
      <c r="I44" s="37">
        <f>H44-B44</f>
        <v>-2.0143180535987035</v>
      </c>
      <c r="J44" s="37">
        <f t="shared" si="3"/>
        <v>-30.214770803980553</v>
      </c>
      <c r="K44" s="37">
        <f t="shared" si="4"/>
        <v>329.78522919601943</v>
      </c>
      <c r="L44" s="37">
        <f t="shared" si="5"/>
        <v>0.50324273923253526</v>
      </c>
      <c r="M44" s="37">
        <f>TAN(RADIANS(C44))*COS(RADIANS('Data Entry-V'!$F$8))-SIN(RADIANS('Data Entry-V'!$F$8))*COS(RADIANS(K44))</f>
        <v>9.9880253177120015E-2</v>
      </c>
      <c r="N44" s="37">
        <f t="shared" si="6"/>
        <v>78.77420060986762</v>
      </c>
      <c r="O44" s="147">
        <f t="shared" si="7"/>
        <v>78.77420060986762</v>
      </c>
      <c r="P44" s="149">
        <f>DEGREES(ASIN(COS(RADIANS(K44))*COS(RADIANS(C44))*COS(RADIANS('Data Entry-V'!$F$8))+SIN(RADIANS(C44))*SIN(RADIANS('Data Entry-V'!$F$8))))</f>
        <v>59.301618821813548</v>
      </c>
      <c r="Q44" s="37">
        <f t="shared" si="9"/>
        <v>1.1629709635610559</v>
      </c>
      <c r="R44" s="37">
        <f t="shared" si="10"/>
        <v>1.1625951346587133</v>
      </c>
      <c r="S44" s="90"/>
      <c r="T44" s="90"/>
      <c r="U44" s="90"/>
      <c r="V44" s="90"/>
    </row>
    <row r="45" spans="1:22" x14ac:dyDescent="0.2">
      <c r="A45" s="43" t="s">
        <v>90</v>
      </c>
      <c r="B45" s="46">
        <v>8.6348000000000003</v>
      </c>
      <c r="C45" s="46">
        <v>9.5746000000000002</v>
      </c>
      <c r="D45" s="47">
        <v>6.52</v>
      </c>
      <c r="E45" s="47">
        <v>-0.02</v>
      </c>
      <c r="F45" s="47">
        <v>-0.04</v>
      </c>
      <c r="G45" s="37">
        <f t="shared" si="8"/>
        <v>2415019.5</v>
      </c>
      <c r="H45" s="37">
        <f>6.6925-'Data Entry-V'!$G$9+(24*((1.0027379093*(G45-2447892.5))-FLOOR(1.0027379093*(G45-2447892.5),1)))-(ROUNDDOWN(((6.6925-'Data Entry-V'!$G$9+(24*((1.0027379093*(G45-2447892.5))-FLOOR(1.0027379093*(G45-2447892.5),1))))/24),0)*24)</f>
        <v>6.6134819464012971</v>
      </c>
      <c r="I45" s="37">
        <f>H45-B45</f>
        <v>-2.0213180535987032</v>
      </c>
      <c r="J45" s="37">
        <f t="shared" si="3"/>
        <v>-30.319770803980546</v>
      </c>
      <c r="K45" s="37">
        <f t="shared" si="4"/>
        <v>329.68022919601947</v>
      </c>
      <c r="L45" s="37">
        <f t="shared" si="5"/>
        <v>0.50482552189747099</v>
      </c>
      <c r="M45" s="37">
        <f>TAN(RADIANS(C45))*COS(RADIANS('Data Entry-V'!$F$8))-SIN(RADIANS('Data Entry-V'!$F$8))*COS(RADIANS(K45))</f>
        <v>0.16868137821256957</v>
      </c>
      <c r="N45" s="37">
        <f t="shared" si="6"/>
        <v>71.52356882247804</v>
      </c>
      <c r="O45" s="147">
        <f t="shared" si="7"/>
        <v>71.52356882247804</v>
      </c>
      <c r="P45" s="149">
        <f>DEGREES(ASIN(COS(RADIANS(K45))*COS(RADIANS(C45))*COS(RADIANS('Data Entry-V'!$F$8))+SIN(RADIANS(C45))*SIN(RADIANS('Data Entry-V'!$F$8))))</f>
        <v>58.342059708551993</v>
      </c>
      <c r="Q45" s="37">
        <f t="shared" si="9"/>
        <v>1.174816697062858</v>
      </c>
      <c r="R45" s="37">
        <f t="shared" si="10"/>
        <v>1.1744070315517825</v>
      </c>
      <c r="S45" s="90"/>
      <c r="T45" s="90"/>
      <c r="U45" s="90"/>
      <c r="V45" s="90"/>
    </row>
    <row r="46" spans="1:22" x14ac:dyDescent="0.2">
      <c r="A46" s="43" t="s">
        <v>24</v>
      </c>
      <c r="B46" s="46">
        <v>8.7213999999999992</v>
      </c>
      <c r="C46" s="46">
        <v>21.468499999999999</v>
      </c>
      <c r="D46" s="47">
        <v>4.66</v>
      </c>
      <c r="E46" s="47">
        <v>0.02</v>
      </c>
      <c r="F46" s="47">
        <v>0.01</v>
      </c>
      <c r="G46" s="37">
        <f t="shared" si="8"/>
        <v>2415019.5</v>
      </c>
      <c r="H46" s="37">
        <f>6.6925-'Data Entry-V'!$G$9+(24*((1.0027379093*(G46-2447892.5))-FLOOR(1.0027379093*(G46-2447892.5),1)))-(ROUNDDOWN(((6.6925-'Data Entry-V'!$G$9+(24*((1.0027379093*(G46-2447892.5))-FLOOR(1.0027379093*(G46-2447892.5),1))))/24),0)*24)</f>
        <v>6.6134819464012971</v>
      </c>
      <c r="I46" s="37">
        <f>H46-B46</f>
        <v>-2.1079180535987021</v>
      </c>
      <c r="J46" s="37">
        <f t="shared" si="3"/>
        <v>-31.618770803980532</v>
      </c>
      <c r="K46" s="37">
        <f t="shared" si="4"/>
        <v>328.38122919601949</v>
      </c>
      <c r="L46" s="37">
        <f t="shared" si="5"/>
        <v>0.52426491409314957</v>
      </c>
      <c r="M46" s="37">
        <f>TAN(RADIANS(C46))*COS(RADIANS('Data Entry-V'!$F$8))-SIN(RADIANS('Data Entry-V'!$F$8))*COS(RADIANS(K46))</f>
        <v>0.3932755276745466</v>
      </c>
      <c r="N46" s="37">
        <f t="shared" si="6"/>
        <v>53.124728071434198</v>
      </c>
      <c r="O46" s="147">
        <f t="shared" si="7"/>
        <v>53.124728071434198</v>
      </c>
      <c r="P46" s="149">
        <f>DEGREES(ASIN(COS(RADIANS(K46))*COS(RADIANS(C46))*COS(RADIANS('Data Entry-V'!$F$8))+SIN(RADIANS(C46))*SIN(RADIANS('Data Entry-V'!$F$8))))</f>
        <v>52.417259514924915</v>
      </c>
      <c r="Q46" s="37">
        <f t="shared" si="9"/>
        <v>1.2618719998210688</v>
      </c>
      <c r="R46" s="37">
        <f t="shared" si="10"/>
        <v>1.2611847396075579</v>
      </c>
      <c r="S46" s="90"/>
      <c r="T46" s="90"/>
      <c r="U46" s="90"/>
      <c r="V46" s="90"/>
    </row>
    <row r="47" spans="1:22" x14ac:dyDescent="0.2">
      <c r="A47" s="43" t="s">
        <v>33</v>
      </c>
      <c r="B47" s="46">
        <v>8.8071999999999999</v>
      </c>
      <c r="C47" s="46">
        <v>5.8377999999999997</v>
      </c>
      <c r="D47" s="47">
        <v>4.37</v>
      </c>
      <c r="E47" s="47">
        <v>-0.05</v>
      </c>
      <c r="F47" s="47">
        <v>-0.05</v>
      </c>
      <c r="G47" s="37">
        <f t="shared" si="8"/>
        <v>2415019.5</v>
      </c>
      <c r="H47" s="37">
        <f>6.6925-'Data Entry-V'!$G$9+(24*((1.0027379093*(G47-2447892.5))-FLOOR(1.0027379093*(G47-2447892.5),1)))-(ROUNDDOWN(((6.6925-'Data Entry-V'!$G$9+(24*((1.0027379093*(G47-2447892.5))-FLOOR(1.0027379093*(G47-2447892.5),1))))/24),0)*24)</f>
        <v>6.6134819464012971</v>
      </c>
      <c r="I47" s="37">
        <f>H47-B47</f>
        <v>-2.1937180535987029</v>
      </c>
      <c r="J47" s="37">
        <f t="shared" si="3"/>
        <v>-32.905770803980545</v>
      </c>
      <c r="K47" s="37">
        <f t="shared" si="4"/>
        <v>327.09422919601946</v>
      </c>
      <c r="L47" s="37">
        <f t="shared" si="5"/>
        <v>0.54325901331352222</v>
      </c>
      <c r="M47" s="37">
        <f>TAN(RADIANS(C47))*COS(RADIANS('Data Entry-V'!$F$8))-SIN(RADIANS('Data Entry-V'!$F$8))*COS(RADIANS(K47))</f>
        <v>0.10224288201264177</v>
      </c>
      <c r="N47" s="37">
        <f t="shared" si="6"/>
        <v>79.341448296587046</v>
      </c>
      <c r="O47" s="147">
        <f t="shared" si="7"/>
        <v>79.341448296587046</v>
      </c>
      <c r="P47" s="149">
        <f>DEGREES(ASIN(COS(RADIANS(K47))*COS(RADIANS(C47))*COS(RADIANS('Data Entry-V'!$F$8))+SIN(RADIANS(C47))*SIN(RADIANS('Data Entry-V'!$F$8))))</f>
        <v>56.637817192510504</v>
      </c>
      <c r="Q47" s="37">
        <f t="shared" si="9"/>
        <v>1.1973022132497906</v>
      </c>
      <c r="R47" s="37">
        <f t="shared" si="10"/>
        <v>1.196825765991351</v>
      </c>
      <c r="S47" s="90"/>
      <c r="T47" s="90"/>
      <c r="U47" s="90"/>
      <c r="V47" s="90"/>
    </row>
    <row r="48" spans="1:22" x14ac:dyDescent="0.2">
      <c r="A48" s="43" t="s">
        <v>91</v>
      </c>
      <c r="B48" s="46">
        <v>8.9688999999999997</v>
      </c>
      <c r="C48" s="46">
        <v>1.5416000000000001</v>
      </c>
      <c r="D48" s="47">
        <v>6.59</v>
      </c>
      <c r="E48" s="47">
        <v>0.05</v>
      </c>
      <c r="F48" s="47">
        <v>0.08</v>
      </c>
      <c r="G48" s="37">
        <f t="shared" si="8"/>
        <v>2415019.5</v>
      </c>
      <c r="H48" s="37">
        <f>6.6925-'Data Entry-V'!$G$9+(24*((1.0027379093*(G48-2447892.5))-FLOOR(1.0027379093*(G48-2447892.5),1)))-(ROUNDDOWN(((6.6925-'Data Entry-V'!$G$9+(24*((1.0027379093*(G48-2447892.5))-FLOOR(1.0027379093*(G48-2447892.5),1))))/24),0)*24)</f>
        <v>6.6134819464012971</v>
      </c>
      <c r="I48" s="37">
        <f>H48-B48</f>
        <v>-2.3554180535987026</v>
      </c>
      <c r="J48" s="37">
        <f t="shared" si="3"/>
        <v>-35.331270803980537</v>
      </c>
      <c r="K48" s="37">
        <f t="shared" si="4"/>
        <v>324.66872919601946</v>
      </c>
      <c r="L48" s="37">
        <f t="shared" si="5"/>
        <v>0.57830296863786523</v>
      </c>
      <c r="M48" s="37">
        <f>TAN(RADIANS(C48))*COS(RADIANS('Data Entry-V'!$F$8))-SIN(RADIANS('Data Entry-V'!$F$8))*COS(RADIANS(K48))</f>
        <v>2.6912490338626738E-2</v>
      </c>
      <c r="N48" s="37">
        <f t="shared" si="6"/>
        <v>87.335548156948448</v>
      </c>
      <c r="O48" s="147">
        <f t="shared" si="7"/>
        <v>87.335548156948448</v>
      </c>
      <c r="P48" s="149">
        <f>DEGREES(ASIN(COS(RADIANS(K48))*COS(RADIANS(C48))*COS(RADIANS('Data Entry-V'!$F$8))+SIN(RADIANS(C48))*SIN(RADIANS('Data Entry-V'!$F$8))))</f>
        <v>54.63948441990501</v>
      </c>
      <c r="Q48" s="37">
        <f t="shared" si="9"/>
        <v>1.2262012666002367</v>
      </c>
      <c r="R48" s="37">
        <f t="shared" si="10"/>
        <v>1.2256340020184766</v>
      </c>
      <c r="S48" s="90"/>
      <c r="T48" s="90"/>
      <c r="U48" s="90"/>
      <c r="V48" s="90"/>
    </row>
    <row r="49" spans="1:22" x14ac:dyDescent="0.2">
      <c r="A49" s="43" t="s">
        <v>92</v>
      </c>
      <c r="B49" s="46">
        <v>9.2035999999999998</v>
      </c>
      <c r="C49" s="46">
        <v>3.87</v>
      </c>
      <c r="D49" s="47">
        <v>6.14</v>
      </c>
      <c r="E49" s="47">
        <v>0</v>
      </c>
      <c r="F49" s="47">
        <v>0</v>
      </c>
      <c r="G49" s="37">
        <f t="shared" si="8"/>
        <v>2415019.5</v>
      </c>
      <c r="H49" s="37">
        <f>6.6925-'Data Entry-V'!$G$9+(24*((1.0027379093*(G49-2447892.5))-FLOOR(1.0027379093*(G49-2447892.5),1)))-(ROUNDDOWN(((6.6925-'Data Entry-V'!$G$9+(24*((1.0027379093*(G49-2447892.5))-FLOOR(1.0027379093*(G49-2447892.5),1))))/24),0)*24)</f>
        <v>6.6134819464012971</v>
      </c>
      <c r="I49" s="37">
        <f>H49-B49</f>
        <v>-2.5901180535987027</v>
      </c>
      <c r="J49" s="37">
        <f t="shared" si="3"/>
        <v>-38.851770803980543</v>
      </c>
      <c r="K49" s="37">
        <f t="shared" si="4"/>
        <v>321.14822919601943</v>
      </c>
      <c r="L49" s="37">
        <f t="shared" si="5"/>
        <v>0.62730774264957956</v>
      </c>
      <c r="M49" s="37">
        <f>TAN(RADIANS(C49))*COS(RADIANS('Data Entry-V'!$F$8))-SIN(RADIANS('Data Entry-V'!$F$8))*COS(RADIANS(K49))</f>
        <v>6.7647147181788894E-2</v>
      </c>
      <c r="N49" s="37">
        <f t="shared" si="6"/>
        <v>83.84516461438821</v>
      </c>
      <c r="O49" s="147">
        <f t="shared" si="7"/>
        <v>83.84516461438821</v>
      </c>
      <c r="P49" s="149">
        <f>DEGREES(ASIN(COS(RADIANS(K49))*COS(RADIANS(C49))*COS(RADIANS('Data Entry-V'!$F$8))+SIN(RADIANS(C49))*SIN(RADIANS('Data Entry-V'!$F$8))))</f>
        <v>50.986319438317139</v>
      </c>
      <c r="Q49" s="37">
        <f t="shared" si="9"/>
        <v>1.2870084492881344</v>
      </c>
      <c r="R49" s="37">
        <f t="shared" si="10"/>
        <v>1.2862312786034626</v>
      </c>
      <c r="S49" s="90"/>
      <c r="T49" s="90"/>
      <c r="U49" s="90"/>
      <c r="V49" s="90"/>
    </row>
    <row r="50" spans="1:22" x14ac:dyDescent="0.2">
      <c r="A50" s="43" t="s">
        <v>93</v>
      </c>
      <c r="B50" s="46">
        <v>9.5803999999999991</v>
      </c>
      <c r="C50" s="46">
        <v>52.051299999999998</v>
      </c>
      <c r="D50" s="47">
        <v>4.5</v>
      </c>
      <c r="E50" s="47">
        <v>0</v>
      </c>
      <c r="F50" s="47">
        <v>0.04</v>
      </c>
      <c r="G50" s="37">
        <f t="shared" si="8"/>
        <v>2415019.5</v>
      </c>
      <c r="H50" s="37">
        <f>6.6925-'Data Entry-V'!$G$9+(24*((1.0027379093*(G50-2447892.5))-FLOOR(1.0027379093*(G50-2447892.5),1)))-(ROUNDDOWN(((6.6925-'Data Entry-V'!$G$9+(24*((1.0027379093*(G50-2447892.5))-FLOOR(1.0027379093*(G50-2447892.5),1))))/24),0)*24)</f>
        <v>6.6134819464012971</v>
      </c>
      <c r="I50" s="37">
        <f>H50-B50</f>
        <v>-2.9669180535987021</v>
      </c>
      <c r="J50" s="37">
        <f t="shared" si="3"/>
        <v>-44.50377080398053</v>
      </c>
      <c r="K50" s="37">
        <f t="shared" si="4"/>
        <v>315.4962291960195</v>
      </c>
      <c r="L50" s="37">
        <f t="shared" si="5"/>
        <v>0.70095620389439262</v>
      </c>
      <c r="M50" s="37">
        <f>TAN(RADIANS(C50))*COS(RADIANS('Data Entry-V'!$F$8))-SIN(RADIANS('Data Entry-V'!$F$8))*COS(RADIANS(K50))</f>
        <v>1.282306510941978</v>
      </c>
      <c r="N50" s="37">
        <f t="shared" si="6"/>
        <v>28.66264908837492</v>
      </c>
      <c r="O50" s="147">
        <f t="shared" si="7"/>
        <v>28.66264908837492</v>
      </c>
      <c r="P50" s="149">
        <f>DEGREES(ASIN(COS(RADIANS(K50))*COS(RADIANS(C50))*COS(RADIANS('Data Entry-V'!$F$8))+SIN(RADIANS(C50))*SIN(RADIANS('Data Entry-V'!$F$8))))</f>
        <v>26.013891385244307</v>
      </c>
      <c r="Q50" s="37">
        <f t="shared" si="9"/>
        <v>2.280038699314678</v>
      </c>
      <c r="R50" s="37">
        <f t="shared" si="10"/>
        <v>2.2713080544846616</v>
      </c>
      <c r="S50" s="90"/>
      <c r="T50" s="90"/>
      <c r="U50" s="90"/>
      <c r="V50" s="90"/>
    </row>
    <row r="51" spans="1:22" x14ac:dyDescent="0.2">
      <c r="A51" s="43" t="s">
        <v>94</v>
      </c>
      <c r="B51" s="46">
        <v>9.8699999999999992</v>
      </c>
      <c r="C51" s="46">
        <v>2.4546999999999999</v>
      </c>
      <c r="D51" s="47">
        <v>6.02</v>
      </c>
      <c r="E51" s="47">
        <v>-0.04</v>
      </c>
      <c r="F51" s="47">
        <v>-0.08</v>
      </c>
      <c r="G51" s="37">
        <f t="shared" si="8"/>
        <v>2415019.5</v>
      </c>
      <c r="H51" s="37">
        <f>6.6925-'Data Entry-V'!$G$9+(24*((1.0027379093*(G51-2447892.5))-FLOOR(1.0027379093*(G51-2447892.5),1)))-(ROUNDDOWN(((6.6925-'Data Entry-V'!$G$9+(24*((1.0027379093*(G51-2447892.5))-FLOOR(1.0027379093*(G51-2447892.5),1))))/24),0)*24)</f>
        <v>6.6134819464012971</v>
      </c>
      <c r="I51" s="37">
        <f>H51-B51</f>
        <v>-3.2565180535987022</v>
      </c>
      <c r="J51" s="37">
        <f t="shared" si="3"/>
        <v>-48.847770803980531</v>
      </c>
      <c r="K51" s="37">
        <f t="shared" si="4"/>
        <v>311.15222919601945</v>
      </c>
      <c r="L51" s="37">
        <f t="shared" si="5"/>
        <v>0.75296383479626083</v>
      </c>
      <c r="M51" s="37">
        <f>TAN(RADIANS(C51))*COS(RADIANS('Data Entry-V'!$F$8))-SIN(RADIANS('Data Entry-V'!$F$8))*COS(RADIANS(K51))</f>
        <v>4.286882876751779E-2</v>
      </c>
      <c r="N51" s="37">
        <f t="shared" si="6"/>
        <v>86.741471320172309</v>
      </c>
      <c r="O51" s="147">
        <f t="shared" si="7"/>
        <v>86.741471320172309</v>
      </c>
      <c r="P51" s="149">
        <f>DEGREES(ASIN(COS(RADIANS(K51))*COS(RADIANS(C51))*COS(RADIANS('Data Entry-V'!$F$8))+SIN(RADIANS(C51))*SIN(RADIANS('Data Entry-V'!$F$8))))</f>
        <v>41.106296879344342</v>
      </c>
      <c r="Q51" s="37">
        <f t="shared" si="9"/>
        <v>1.5210095696564589</v>
      </c>
      <c r="R51" s="37">
        <f t="shared" si="10"/>
        <v>1.519168625933299</v>
      </c>
      <c r="S51" s="90"/>
      <c r="T51" s="90"/>
      <c r="U51" s="90"/>
      <c r="V51" s="90"/>
    </row>
    <row r="52" spans="1:22" x14ac:dyDescent="0.2">
      <c r="A52" s="43" t="s">
        <v>26</v>
      </c>
      <c r="B52" s="46">
        <v>10.123799999999999</v>
      </c>
      <c r="C52" s="46">
        <v>35.244700000000002</v>
      </c>
      <c r="D52" s="47">
        <v>4.49</v>
      </c>
      <c r="E52" s="47">
        <v>0.19</v>
      </c>
      <c r="F52" s="47">
        <v>7.0000000000000007E-2</v>
      </c>
      <c r="G52" s="37">
        <f t="shared" si="8"/>
        <v>2415019.5</v>
      </c>
      <c r="H52" s="37">
        <f>6.6925-'Data Entry-V'!$G$9+(24*((1.0027379093*(G52-2447892.5))-FLOOR(1.0027379093*(G52-2447892.5),1)))-(ROUNDDOWN(((6.6925-'Data Entry-V'!$G$9+(24*((1.0027379093*(G52-2447892.5))-FLOOR(1.0027379093*(G52-2447892.5),1))))/24),0)*24)</f>
        <v>6.6134819464012971</v>
      </c>
      <c r="I52" s="37">
        <f>H52-B52</f>
        <v>-3.5103180535987022</v>
      </c>
      <c r="J52" s="37">
        <f t="shared" si="3"/>
        <v>-52.654770803980533</v>
      </c>
      <c r="K52" s="37">
        <f t="shared" si="4"/>
        <v>307.34522919601949</v>
      </c>
      <c r="L52" s="37">
        <f t="shared" si="5"/>
        <v>0.79499486678835285</v>
      </c>
      <c r="M52" s="37">
        <f>TAN(RADIANS(C52))*COS(RADIANS('Data Entry-V'!$F$8))-SIN(RADIANS('Data Entry-V'!$F$8))*COS(RADIANS(K52))</f>
        <v>0.7065914317055767</v>
      </c>
      <c r="N52" s="37">
        <f t="shared" si="6"/>
        <v>48.369306058208331</v>
      </c>
      <c r="O52" s="147">
        <f t="shared" si="7"/>
        <v>48.369306058208331</v>
      </c>
      <c r="P52" s="149">
        <f>DEGREES(ASIN(COS(RADIANS(K52))*COS(RADIANS(C52))*COS(RADIANS('Data Entry-V'!$F$8))+SIN(RADIANS(C52))*SIN(RADIANS('Data Entry-V'!$F$8))))</f>
        <v>29.697472196868912</v>
      </c>
      <c r="Q52" s="37">
        <f t="shared" si="9"/>
        <v>2.0184879559442841</v>
      </c>
      <c r="R52" s="37">
        <f t="shared" si="10"/>
        <v>2.0128020261388322</v>
      </c>
      <c r="S52" s="90"/>
      <c r="T52" s="90"/>
      <c r="U52" s="90"/>
      <c r="V52" s="90"/>
    </row>
    <row r="53" spans="1:22" x14ac:dyDescent="0.2">
      <c r="A53" s="43" t="s">
        <v>25</v>
      </c>
      <c r="B53" s="48">
        <v>10.8849</v>
      </c>
      <c r="C53" s="48">
        <v>43.19</v>
      </c>
      <c r="D53" s="47">
        <v>4.71</v>
      </c>
      <c r="E53" s="47">
        <v>-0.05</v>
      </c>
      <c r="F53" s="47">
        <v>-0.06</v>
      </c>
      <c r="G53" s="37">
        <f t="shared" si="8"/>
        <v>2415019.5</v>
      </c>
      <c r="H53" s="37">
        <f>6.6925-'Data Entry-V'!$G$9+(24*((1.0027379093*(G53-2447892.5))-FLOOR(1.0027379093*(G53-2447892.5),1)))-(ROUNDDOWN(((6.6925-'Data Entry-V'!$G$9+(24*((1.0027379093*(G53-2447892.5))-FLOOR(1.0027379093*(G53-2447892.5),1))))/24),0)*24)</f>
        <v>6.6134819464012971</v>
      </c>
      <c r="I53" s="37">
        <f>H53-B53</f>
        <v>-4.271418053598703</v>
      </c>
      <c r="J53" s="37">
        <f t="shared" si="3"/>
        <v>-64.071270803980539</v>
      </c>
      <c r="K53" s="37">
        <f t="shared" si="4"/>
        <v>295.92872919601945</v>
      </c>
      <c r="L53" s="37">
        <f t="shared" si="5"/>
        <v>0.89933864513746908</v>
      </c>
      <c r="M53" s="37">
        <f>TAN(RADIANS(C53))*COS(RADIANS('Data Entry-V'!$F$8))-SIN(RADIANS('Data Entry-V'!$F$8))*COS(RADIANS(K53))</f>
        <v>0.93873411687729702</v>
      </c>
      <c r="N53" s="37">
        <f t="shared" si="6"/>
        <v>43.772165731555361</v>
      </c>
      <c r="O53" s="147">
        <f t="shared" si="7"/>
        <v>43.772165731555361</v>
      </c>
      <c r="P53" s="149">
        <f>DEGREES(ASIN(COS(RADIANS(K53))*COS(RADIANS(C53))*COS(RADIANS('Data Entry-V'!$F$8))+SIN(RADIANS(C53))*SIN(RADIANS('Data Entry-V'!$F$8))))</f>
        <v>18.59011570360628</v>
      </c>
      <c r="Q53" s="37">
        <f t="shared" si="9"/>
        <v>3.1368041696092277</v>
      </c>
      <c r="R53" s="37">
        <f t="shared" si="10"/>
        <v>3.1119102837844297</v>
      </c>
      <c r="S53" s="90"/>
      <c r="T53" s="90"/>
      <c r="U53" s="90"/>
      <c r="V53" s="90"/>
    </row>
    <row r="54" spans="1:22" x14ac:dyDescent="0.2">
      <c r="A54" s="43" t="s">
        <v>95</v>
      </c>
      <c r="B54" s="48">
        <v>11.0388</v>
      </c>
      <c r="C54" s="48">
        <v>20.180099999999999</v>
      </c>
      <c r="D54" s="47">
        <v>4.41</v>
      </c>
      <c r="E54" s="47">
        <v>0.04</v>
      </c>
      <c r="F54" s="47">
        <v>0.04</v>
      </c>
      <c r="G54" s="37">
        <f t="shared" si="8"/>
        <v>2415019.5</v>
      </c>
      <c r="H54" s="37">
        <f>6.6925-'Data Entry-V'!$G$9+(24*((1.0027379093*(G54-2447892.5))-FLOOR(1.0027379093*(G54-2447892.5),1)))-(ROUNDDOWN(((6.6925-'Data Entry-V'!$G$9+(24*((1.0027379093*(G54-2447892.5))-FLOOR(1.0027379093*(G54-2447892.5),1))))/24),0)*24)</f>
        <v>6.6134819464012971</v>
      </c>
      <c r="I54" s="37">
        <f>H54-B54</f>
        <v>-4.4253180535987031</v>
      </c>
      <c r="J54" s="37">
        <f t="shared" si="3"/>
        <v>-66.379770803980549</v>
      </c>
      <c r="K54" s="37">
        <f t="shared" si="4"/>
        <v>293.62022919601947</v>
      </c>
      <c r="L54" s="37">
        <f t="shared" si="5"/>
        <v>0.91622132278849566</v>
      </c>
      <c r="M54" s="37">
        <f>TAN(RADIANS(C54))*COS(RADIANS('Data Entry-V'!$F$8))-SIN(RADIANS('Data Entry-V'!$F$8))*COS(RADIANS(K54))</f>
        <v>0.36753407290610451</v>
      </c>
      <c r="N54" s="37">
        <f t="shared" si="6"/>
        <v>68.142248096495493</v>
      </c>
      <c r="O54" s="147">
        <f t="shared" si="7"/>
        <v>68.142248096495493</v>
      </c>
      <c r="P54" s="149">
        <f>DEGREES(ASIN(COS(RADIANS(K54))*COS(RADIANS(C54))*COS(RADIANS('Data Entry-V'!$F$8))+SIN(RADIANS(C54))*SIN(RADIANS('Data Entry-V'!$F$8))))</f>
        <v>22.090857596504289</v>
      </c>
      <c r="Q54" s="37">
        <f t="shared" si="9"/>
        <v>2.6590340563987209</v>
      </c>
      <c r="R54" s="37">
        <f t="shared" si="10"/>
        <v>2.6444169991738913</v>
      </c>
      <c r="S54" s="90"/>
      <c r="T54" s="90"/>
      <c r="U54" s="90"/>
      <c r="V54" s="90"/>
    </row>
    <row r="55" spans="1:22" x14ac:dyDescent="0.2">
      <c r="A55" s="43" t="s">
        <v>96</v>
      </c>
      <c r="B55" s="48">
        <v>11.2293</v>
      </c>
      <c r="C55" s="48">
        <v>-6.9500000000000006E-2</v>
      </c>
      <c r="D55" s="47">
        <v>5.42</v>
      </c>
      <c r="E55" s="47">
        <v>-0.02</v>
      </c>
      <c r="F55" s="47">
        <v>-0.05</v>
      </c>
      <c r="G55" s="37">
        <f t="shared" si="8"/>
        <v>2415019.5</v>
      </c>
      <c r="H55" s="37">
        <f>6.6925-'Data Entry-V'!$G$9+(24*((1.0027379093*(G55-2447892.5))-FLOOR(1.0027379093*(G55-2447892.5),1)))-(ROUNDDOWN(((6.6925-'Data Entry-V'!$G$9+(24*((1.0027379093*(G55-2447892.5))-FLOOR(1.0027379093*(G55-2447892.5),1))))/24),0)*24)</f>
        <v>6.6134819464012971</v>
      </c>
      <c r="I55" s="37">
        <f>H55-B55</f>
        <v>-4.6158180535987032</v>
      </c>
      <c r="J55" s="37">
        <f t="shared" si="3"/>
        <v>-69.23727080398055</v>
      </c>
      <c r="K55" s="37">
        <f t="shared" si="4"/>
        <v>290.76272919601945</v>
      </c>
      <c r="L55" s="37">
        <f t="shared" si="5"/>
        <v>0.93505647505053313</v>
      </c>
      <c r="M55" s="37">
        <f>TAN(RADIANS(C55))*COS(RADIANS('Data Entry-V'!$F$8))-SIN(RADIANS('Data Entry-V'!$F$8))*COS(RADIANS(K55))</f>
        <v>-1.2130044250655771E-3</v>
      </c>
      <c r="N55" s="37">
        <f t="shared" si="6"/>
        <v>90.07432705612446</v>
      </c>
      <c r="O55" s="147">
        <f t="shared" si="7"/>
        <v>90.07432705612446</v>
      </c>
      <c r="P55" s="149">
        <f>DEGREES(ASIN(COS(RADIANS(K55))*COS(RADIANS(C55))*COS(RADIANS('Data Entry-V'!$F$8))+SIN(RADIANS(C55))*SIN(RADIANS('Data Entry-V'!$F$8))))</f>
        <v>20.762713215392505</v>
      </c>
      <c r="Q55" s="37">
        <f t="shared" si="9"/>
        <v>2.8208862157005026</v>
      </c>
      <c r="R55" s="37">
        <f t="shared" si="10"/>
        <v>2.8031668644617147</v>
      </c>
      <c r="S55" s="90"/>
      <c r="T55" s="90"/>
      <c r="U55" s="90"/>
      <c r="V55" s="90"/>
    </row>
    <row r="56" spans="1:22" x14ac:dyDescent="0.2">
      <c r="A56" s="43" t="s">
        <v>34</v>
      </c>
      <c r="B56" s="46">
        <v>11.3523</v>
      </c>
      <c r="C56" s="46">
        <v>6.0293000000000001</v>
      </c>
      <c r="D56" s="47">
        <v>4.0599999999999996</v>
      </c>
      <c r="E56" s="47">
        <v>-7.0000000000000007E-2</v>
      </c>
      <c r="F56" s="47">
        <v>-0.12</v>
      </c>
      <c r="G56" s="37">
        <f t="shared" si="8"/>
        <v>2415019.5</v>
      </c>
      <c r="H56" s="37">
        <f>6.6925-'Data Entry-V'!$G$9+(24*((1.0027379093*(G56-2447892.5))-FLOOR(1.0027379093*(G56-2447892.5),1)))-(ROUNDDOWN(((6.6925-'Data Entry-V'!$G$9+(24*((1.0027379093*(G56-2447892.5))-FLOOR(1.0027379093*(G56-2447892.5),1))))/24),0)*24)</f>
        <v>6.6134819464012971</v>
      </c>
      <c r="I56" s="37">
        <f>H56-B56</f>
        <v>-4.7388180535987026</v>
      </c>
      <c r="J56" s="37">
        <f t="shared" si="3"/>
        <v>-71.082270803980535</v>
      </c>
      <c r="K56" s="37">
        <f t="shared" si="4"/>
        <v>288.91772919601948</v>
      </c>
      <c r="L56" s="37">
        <f t="shared" si="5"/>
        <v>0.94598508284790872</v>
      </c>
      <c r="M56" s="37">
        <f>TAN(RADIANS(C56))*COS(RADIANS('Data Entry-V'!$F$8))-SIN(RADIANS('Data Entry-V'!$F$8))*COS(RADIANS(K56))</f>
        <v>0.10562129375273649</v>
      </c>
      <c r="N56" s="37">
        <f t="shared" si="6"/>
        <v>83.629187351380196</v>
      </c>
      <c r="O56" s="147">
        <f t="shared" si="7"/>
        <v>83.629187351380196</v>
      </c>
      <c r="P56" s="149">
        <f>DEGREES(ASIN(COS(RADIANS(K56))*COS(RADIANS(C56))*COS(RADIANS('Data Entry-V'!$F$8))+SIN(RADIANS(C56))*SIN(RADIANS('Data Entry-V'!$F$8))))</f>
        <v>18.809141175493338</v>
      </c>
      <c r="Q56" s="37">
        <f t="shared" si="9"/>
        <v>3.1015760931773673</v>
      </c>
      <c r="R56" s="37">
        <f t="shared" si="10"/>
        <v>3.0775590989755579</v>
      </c>
      <c r="S56" s="90"/>
      <c r="T56" s="90"/>
      <c r="U56" s="90"/>
      <c r="V56" s="90"/>
    </row>
    <row r="57" spans="1:22" x14ac:dyDescent="0.2">
      <c r="A57" s="43" t="s">
        <v>97</v>
      </c>
      <c r="B57" s="46">
        <v>11.3188</v>
      </c>
      <c r="C57" s="46">
        <v>38.185200000000002</v>
      </c>
      <c r="D57" s="47">
        <v>4.79</v>
      </c>
      <c r="E57" s="47">
        <v>0.12</v>
      </c>
      <c r="F57" s="47">
        <v>0.03</v>
      </c>
      <c r="G57" s="37">
        <f t="shared" si="8"/>
        <v>2415019.5</v>
      </c>
      <c r="H57" s="37">
        <f>6.6925-'Data Entry-V'!$G$9+(24*((1.0027379093*(G57-2447892.5))-FLOOR(1.0027379093*(G57-2447892.5),1)))-(ROUNDDOWN(((6.6925-'Data Entry-V'!$G$9+(24*((1.0027379093*(G57-2447892.5))-FLOOR(1.0027379093*(G57-2447892.5),1))))/24),0)*24)</f>
        <v>6.6134819464012971</v>
      </c>
      <c r="I57" s="37">
        <f>H57-B57</f>
        <v>-4.7053180535987025</v>
      </c>
      <c r="J57" s="37">
        <f t="shared" si="3"/>
        <v>-70.579770803980537</v>
      </c>
      <c r="K57" s="37">
        <f t="shared" si="4"/>
        <v>289.42022919601948</v>
      </c>
      <c r="L57" s="37">
        <f t="shared" si="5"/>
        <v>0.94310532433372807</v>
      </c>
      <c r="M57" s="37">
        <f>TAN(RADIANS(C57))*COS(RADIANS('Data Entry-V'!$F$8))-SIN(RADIANS('Data Entry-V'!$F$8))*COS(RADIANS(K57))</f>
        <v>0.78650422311259782</v>
      </c>
      <c r="N57" s="37">
        <f t="shared" si="6"/>
        <v>50.173528218523593</v>
      </c>
      <c r="O57" s="147">
        <f t="shared" si="7"/>
        <v>50.173528218523593</v>
      </c>
      <c r="P57" s="149">
        <f>DEGREES(ASIN(COS(RADIANS(K57))*COS(RADIANS(C57))*COS(RADIANS('Data Entry-V'!$F$8))+SIN(RADIANS(C57))*SIN(RADIANS('Data Entry-V'!$F$8))))</f>
        <v>15.149938605029382</v>
      </c>
      <c r="Q57" s="37">
        <f t="shared" si="9"/>
        <v>3.8263464861236072</v>
      </c>
      <c r="R57" s="37">
        <f t="shared" si="10"/>
        <v>3.7799979760798301</v>
      </c>
      <c r="S57" s="90"/>
      <c r="T57" s="90"/>
      <c r="U57" s="90"/>
      <c r="V57" s="90"/>
    </row>
    <row r="58" spans="1:22" x14ac:dyDescent="0.2">
      <c r="A58" s="43" t="s">
        <v>98</v>
      </c>
      <c r="B58" s="46">
        <v>11.7986</v>
      </c>
      <c r="C58" s="46">
        <v>8.2460000000000004</v>
      </c>
      <c r="D58" s="47">
        <v>5.31</v>
      </c>
      <c r="E58" s="47">
        <v>0.02</v>
      </c>
      <c r="F58" s="47">
        <v>0.04</v>
      </c>
      <c r="G58" s="37">
        <f t="shared" si="8"/>
        <v>2415019.5</v>
      </c>
      <c r="H58" s="37">
        <f>6.6925-'Data Entry-V'!$G$9+(24*((1.0027379093*(G58-2447892.5))-FLOOR(1.0027379093*(G58-2447892.5),1)))-(ROUNDDOWN(((6.6925-'Data Entry-V'!$G$9+(24*((1.0027379093*(G58-2447892.5))-FLOOR(1.0027379093*(G58-2447892.5),1))))/24),0)*24)</f>
        <v>6.6134819464012971</v>
      </c>
      <c r="I58" s="37">
        <f>H58-B58</f>
        <v>-5.1851180535987034</v>
      </c>
      <c r="J58" s="37">
        <f t="shared" si="3"/>
        <v>-77.776770803980554</v>
      </c>
      <c r="K58" s="37">
        <f t="shared" si="4"/>
        <v>282.22322919601947</v>
      </c>
      <c r="L58" s="37">
        <f t="shared" si="5"/>
        <v>0.97733013740239627</v>
      </c>
      <c r="M58" s="37">
        <f>TAN(RADIANS(C58))*COS(RADIANS('Data Entry-V'!$F$8))-SIN(RADIANS('Data Entry-V'!$F$8))*COS(RADIANS(K58))</f>
        <v>0.14492181936076992</v>
      </c>
      <c r="N58" s="37">
        <f t="shared" si="6"/>
        <v>81.565449133244911</v>
      </c>
      <c r="O58" s="147">
        <f t="shared" si="7"/>
        <v>81.565449133244911</v>
      </c>
      <c r="P58" s="149">
        <f>DEGREES(ASIN(COS(RADIANS(K58))*COS(RADIANS(C58))*COS(RADIANS('Data Entry-V'!$F$8))+SIN(RADIANS(C58))*SIN(RADIANS('Data Entry-V'!$F$8))))</f>
        <v>12.094936459754129</v>
      </c>
      <c r="Q58" s="37">
        <f t="shared" si="9"/>
        <v>4.7725372920030322</v>
      </c>
      <c r="R58" s="37">
        <f t="shared" si="10"/>
        <v>4.6813705303329582</v>
      </c>
      <c r="S58" s="90"/>
      <c r="T58" s="90"/>
      <c r="U58" s="90"/>
      <c r="V58" s="90"/>
    </row>
    <row r="59" spans="1:22" x14ac:dyDescent="0.2">
      <c r="A59" s="43" t="s">
        <v>99</v>
      </c>
      <c r="B59" s="46">
        <v>11.9991</v>
      </c>
      <c r="C59" s="46">
        <v>3.6551999999999998</v>
      </c>
      <c r="D59" s="47">
        <v>5.36</v>
      </c>
      <c r="E59" s="47">
        <v>0</v>
      </c>
      <c r="F59" s="47">
        <v>0</v>
      </c>
      <c r="G59" s="37">
        <f t="shared" si="8"/>
        <v>2415019.5</v>
      </c>
      <c r="H59" s="37">
        <f>6.6925-'Data Entry-V'!$G$9+(24*((1.0027379093*(G59-2447892.5))-FLOOR(1.0027379093*(G59-2447892.5),1)))-(ROUNDDOWN(((6.6925-'Data Entry-V'!$G$9+(24*((1.0027379093*(G59-2447892.5))-FLOOR(1.0027379093*(G59-2447892.5),1))))/24),0)*24)</f>
        <v>6.6134819464012971</v>
      </c>
      <c r="I59" s="37">
        <f>H59-B59</f>
        <v>-5.3856180535987033</v>
      </c>
      <c r="J59" s="37">
        <f t="shared" si="3"/>
        <v>-80.784270803980547</v>
      </c>
      <c r="K59" s="37">
        <f t="shared" si="4"/>
        <v>279.21572919601942</v>
      </c>
      <c r="L59" s="37">
        <f t="shared" si="5"/>
        <v>0.98709233629156312</v>
      </c>
      <c r="M59" s="37">
        <f>TAN(RADIANS(C59))*COS(RADIANS('Data Entry-V'!$F$8))-SIN(RADIANS('Data Entry-V'!$F$8))*COS(RADIANS(K59))</f>
        <v>6.3881961400262699E-2</v>
      </c>
      <c r="N59" s="37">
        <f t="shared" si="6"/>
        <v>86.297135082319485</v>
      </c>
      <c r="O59" s="147">
        <f t="shared" si="7"/>
        <v>86.297135082319485</v>
      </c>
      <c r="P59" s="149">
        <f>DEGREES(ASIN(COS(RADIANS(K59))*COS(RADIANS(C59))*COS(RADIANS('Data Entry-V'!$F$8))+SIN(RADIANS(C59))*SIN(RADIANS('Data Entry-V'!$F$8))))</f>
        <v>9.1968194450204184</v>
      </c>
      <c r="Q59" s="37">
        <f t="shared" si="9"/>
        <v>6.2567889926416296</v>
      </c>
      <c r="R59" s="37" t="str">
        <f t="shared" si="10"/>
        <v/>
      </c>
      <c r="S59" s="90"/>
      <c r="T59" s="90"/>
      <c r="U59" s="90"/>
      <c r="V59" s="90"/>
    </row>
    <row r="60" spans="1:22" x14ac:dyDescent="0.2">
      <c r="A60" s="43" t="s">
        <v>35</v>
      </c>
      <c r="B60" s="46">
        <v>12.0146</v>
      </c>
      <c r="C60" s="46">
        <v>6.6143000000000001</v>
      </c>
      <c r="D60" s="47">
        <v>4.67</v>
      </c>
      <c r="E60" s="47">
        <v>0.13</v>
      </c>
      <c r="F60" s="47">
        <v>0.1</v>
      </c>
      <c r="G60" s="37">
        <f t="shared" si="8"/>
        <v>2415019.5</v>
      </c>
      <c r="H60" s="37">
        <f>6.6925-'Data Entry-V'!$G$9+(24*((1.0027379093*(G60-2447892.5))-FLOOR(1.0027379093*(G60-2447892.5),1)))-(ROUNDDOWN(((6.6925-'Data Entry-V'!$G$9+(24*((1.0027379093*(G60-2447892.5))-FLOOR(1.0027379093*(G60-2447892.5),1))))/24),0)*24)</f>
        <v>6.6134819464012971</v>
      </c>
      <c r="I60" s="37">
        <f>H60-B60</f>
        <v>-5.4011180535987027</v>
      </c>
      <c r="J60" s="37">
        <f t="shared" si="3"/>
        <v>-81.016770803980535</v>
      </c>
      <c r="K60" s="37">
        <f t="shared" si="4"/>
        <v>278.98322919601947</v>
      </c>
      <c r="L60" s="37">
        <f t="shared" si="5"/>
        <v>0.9877340875506182</v>
      </c>
      <c r="M60" s="37">
        <f>TAN(RADIANS(C60))*COS(RADIANS('Data Entry-V'!$F$8))-SIN(RADIANS('Data Entry-V'!$F$8))*COS(RADIANS(K60))</f>
        <v>0.11595687832344785</v>
      </c>
      <c r="N60" s="37">
        <f t="shared" si="6"/>
        <v>83.304303353301748</v>
      </c>
      <c r="O60" s="147">
        <f t="shared" si="7"/>
        <v>83.304303353301748</v>
      </c>
      <c r="P60" s="149">
        <f>DEGREES(ASIN(COS(RADIANS(K60))*COS(RADIANS(C60))*COS(RADIANS('Data Entry-V'!$F$8))+SIN(RADIANS(C60))*SIN(RADIANS('Data Entry-V'!$F$8))))</f>
        <v>8.9229474554979529</v>
      </c>
      <c r="Q60" s="37">
        <f t="shared" si="9"/>
        <v>6.4472013389079983</v>
      </c>
      <c r="R60" s="37" t="str">
        <f t="shared" si="10"/>
        <v/>
      </c>
      <c r="S60" s="90"/>
      <c r="T60" s="90"/>
      <c r="U60" s="90"/>
      <c r="V60" s="90"/>
    </row>
    <row r="61" spans="1:22" x14ac:dyDescent="0.2">
      <c r="A61" s="43" t="s">
        <v>100</v>
      </c>
      <c r="B61" s="46">
        <v>12.5808</v>
      </c>
      <c r="C61" s="46">
        <v>22.6294</v>
      </c>
      <c r="D61" s="47">
        <v>4.8099999999999996</v>
      </c>
      <c r="E61" s="47">
        <v>0</v>
      </c>
      <c r="F61" s="47">
        <v>-0.01</v>
      </c>
      <c r="G61" s="37">
        <f t="shared" si="8"/>
        <v>2415019.5</v>
      </c>
      <c r="H61" s="37">
        <f>6.6925-'Data Entry-V'!$G$9+(24*((1.0027379093*(G61-2447892.5))-FLOOR(1.0027379093*(G61-2447892.5),1)))-(ROUNDDOWN(((6.6925-'Data Entry-V'!$G$9+(24*((1.0027379093*(G61-2447892.5))-FLOOR(1.0027379093*(G61-2447892.5),1))))/24),0)*24)</f>
        <v>6.6134819464012971</v>
      </c>
      <c r="I61" s="37">
        <f>H61-B61</f>
        <v>-5.9673180535987029</v>
      </c>
      <c r="J61" s="37">
        <f t="shared" si="3"/>
        <v>-89.509770803980544</v>
      </c>
      <c r="K61" s="37">
        <f t="shared" si="4"/>
        <v>270.49022919601947</v>
      </c>
      <c r="L61" s="37">
        <f t="shared" si="5"/>
        <v>0.99996339668367729</v>
      </c>
      <c r="M61" s="37">
        <f>TAN(RADIANS(C61))*COS(RADIANS('Data Entry-V'!$F$8))-SIN(RADIANS('Data Entry-V'!$F$8))*COS(RADIANS(K61))</f>
        <v>0.41686199028617044</v>
      </c>
      <c r="N61" s="37">
        <f t="shared" si="6"/>
        <v>67.369855157493092</v>
      </c>
      <c r="O61" s="147">
        <f t="shared" si="7"/>
        <v>67.369855157493092</v>
      </c>
      <c r="P61" s="149">
        <f>DEGREES(ASIN(COS(RADIANS(K61))*COS(RADIANS(C61))*COS(RADIANS('Data Entry-V'!$F$8))+SIN(RADIANS(C61))*SIN(RADIANS('Data Entry-V'!$F$8))))</f>
        <v>0.45248705615438412</v>
      </c>
      <c r="Q61" s="37">
        <f t="shared" si="9"/>
        <v>126.62544555877849</v>
      </c>
      <c r="R61" s="37" t="str">
        <f t="shared" si="10"/>
        <v/>
      </c>
      <c r="S61" s="90"/>
      <c r="T61" s="90"/>
      <c r="U61" s="90"/>
      <c r="V61" s="90"/>
    </row>
    <row r="62" spans="1:22" x14ac:dyDescent="0.2">
      <c r="A62" s="43" t="s">
        <v>101</v>
      </c>
      <c r="B62" s="46">
        <v>12.634600000000001</v>
      </c>
      <c r="C62" s="46">
        <v>3.1823999999999999</v>
      </c>
      <c r="D62" s="47">
        <v>6.32</v>
      </c>
      <c r="E62" s="47">
        <v>0.01</v>
      </c>
      <c r="F62" s="47">
        <v>0.01</v>
      </c>
      <c r="G62" s="37">
        <f t="shared" si="8"/>
        <v>2415019.5</v>
      </c>
      <c r="H62" s="37">
        <f>6.6925-'Data Entry-V'!$G$9+(24*((1.0027379093*(G62-2447892.5))-FLOOR(1.0027379093*(G62-2447892.5),1)))-(ROUNDDOWN(((6.6925-'Data Entry-V'!$G$9+(24*((1.0027379093*(G62-2447892.5))-FLOOR(1.0027379093*(G62-2447892.5),1))))/24),0)*24)</f>
        <v>6.6134819464012971</v>
      </c>
      <c r="I62" s="37">
        <f>H62-B62</f>
        <v>-6.0211180535987037</v>
      </c>
      <c r="J62" s="37">
        <f t="shared" si="3"/>
        <v>-90.31677080398056</v>
      </c>
      <c r="K62" s="37">
        <f t="shared" si="4"/>
        <v>269.68322919601945</v>
      </c>
      <c r="L62" s="37">
        <f t="shared" si="5"/>
        <v>0.99998471681300083</v>
      </c>
      <c r="M62" s="37">
        <f>TAN(RADIANS(C62))*COS(RADIANS('Data Entry-V'!$F$8))-SIN(RADIANS('Data Entry-V'!$F$8))*COS(RADIANS(K62))</f>
        <v>5.5600546972230401E-2</v>
      </c>
      <c r="N62" s="37">
        <f t="shared" si="6"/>
        <v>86.817551462017093</v>
      </c>
      <c r="O62" s="147">
        <f t="shared" si="7"/>
        <v>86.817551462017093</v>
      </c>
      <c r="P62" s="149">
        <f>DEGREES(ASIN(COS(RADIANS(K62))*COS(RADIANS(C62))*COS(RADIANS('Data Entry-V'!$F$8))+SIN(RADIANS(C62))*SIN(RADIANS('Data Entry-V'!$F$8))))</f>
        <v>-0.31628229542115882</v>
      </c>
      <c r="Q62" s="37">
        <f t="shared" si="9"/>
        <v>-181.15484594658932</v>
      </c>
      <c r="R62" s="37" t="str">
        <f t="shared" si="10"/>
        <v/>
      </c>
      <c r="S62" s="90"/>
      <c r="T62" s="90"/>
      <c r="U62" s="90"/>
      <c r="V62" s="90"/>
    </row>
    <row r="63" spans="1:22" x14ac:dyDescent="0.2">
      <c r="A63" s="43" t="s">
        <v>36</v>
      </c>
      <c r="B63" s="46">
        <v>12.6981</v>
      </c>
      <c r="C63" s="46">
        <v>10.2356</v>
      </c>
      <c r="D63" s="47">
        <v>4.88</v>
      </c>
      <c r="E63" s="47">
        <v>0.09</v>
      </c>
      <c r="F63" s="47">
        <v>0.05</v>
      </c>
      <c r="G63" s="37">
        <f t="shared" si="8"/>
        <v>2415019.5</v>
      </c>
      <c r="H63" s="37">
        <f>6.6925-'Data Entry-V'!$G$9+(24*((1.0027379093*(G63-2447892.5))-FLOOR(1.0027379093*(G63-2447892.5),1)))-(ROUNDDOWN(((6.6925-'Data Entry-V'!$G$9+(24*((1.0027379093*(G63-2447892.5))-FLOOR(1.0027379093*(G63-2447892.5),1))))/24),0)*24)</f>
        <v>6.6134819464012971</v>
      </c>
      <c r="I63" s="37">
        <f>H63-B63</f>
        <v>-6.0846180535987031</v>
      </c>
      <c r="J63" s="37">
        <f t="shared" si="3"/>
        <v>-91.269270803980547</v>
      </c>
      <c r="K63" s="37">
        <f t="shared" si="4"/>
        <v>268.73072919601947</v>
      </c>
      <c r="L63" s="37">
        <f t="shared" si="5"/>
        <v>0.99975463333539494</v>
      </c>
      <c r="M63" s="37">
        <f>TAN(RADIANS(C63))*COS(RADIANS('Data Entry-V'!$F$8))-SIN(RADIANS('Data Entry-V'!$F$8))*COS(RADIANS(K63))</f>
        <v>0.18056992360867427</v>
      </c>
      <c r="N63" s="37">
        <f t="shared" si="6"/>
        <v>79.761941034803456</v>
      </c>
      <c r="O63" s="147">
        <f t="shared" si="7"/>
        <v>79.761941034803456</v>
      </c>
      <c r="P63" s="149">
        <f>DEGREES(ASIN(COS(RADIANS(K63))*COS(RADIANS(C63))*COS(RADIANS('Data Entry-V'!$F$8))+SIN(RADIANS(C63))*SIN(RADIANS('Data Entry-V'!$F$8))))</f>
        <v>-1.249067625902081</v>
      </c>
      <c r="Q63" s="37">
        <f t="shared" si="9"/>
        <v>-45.874472227811737</v>
      </c>
      <c r="R63" s="37" t="str">
        <f t="shared" si="10"/>
        <v/>
      </c>
      <c r="S63" s="90"/>
      <c r="T63" s="90"/>
      <c r="U63" s="90"/>
      <c r="V63" s="90"/>
    </row>
    <row r="64" spans="1:22" x14ac:dyDescent="0.2">
      <c r="A64" s="43" t="s">
        <v>102</v>
      </c>
      <c r="B64" s="46">
        <v>13.3142</v>
      </c>
      <c r="C64" s="46">
        <v>3.6876000000000002</v>
      </c>
      <c r="D64" s="47">
        <v>6.62</v>
      </c>
      <c r="E64" s="47">
        <v>0.06</v>
      </c>
      <c r="F64" s="47">
        <v>0.02</v>
      </c>
      <c r="G64" s="37">
        <f t="shared" si="8"/>
        <v>2415019.5</v>
      </c>
      <c r="H64" s="37">
        <f>6.6925-'Data Entry-V'!$G$9+(24*((1.0027379093*(G64-2447892.5))-FLOOR(1.0027379093*(G64-2447892.5),1)))-(ROUNDDOWN(((6.6925-'Data Entry-V'!$G$9+(24*((1.0027379093*(G64-2447892.5))-FLOOR(1.0027379093*(G64-2447892.5),1))))/24),0)*24)</f>
        <v>6.6134819464012971</v>
      </c>
      <c r="I64" s="37">
        <f>H64-B64</f>
        <v>-6.7007180535987025</v>
      </c>
      <c r="J64" s="37">
        <f t="shared" si="3"/>
        <v>-100.51077080398053</v>
      </c>
      <c r="K64" s="37">
        <f t="shared" si="4"/>
        <v>259.48922919601944</v>
      </c>
      <c r="L64" s="37">
        <f t="shared" si="5"/>
        <v>0.98322063246452773</v>
      </c>
      <c r="M64" s="37">
        <f>TAN(RADIANS(C64))*COS(RADIANS('Data Entry-V'!$F$8))-SIN(RADIANS('Data Entry-V'!$F$8))*COS(RADIANS(K64))</f>
        <v>6.4449776347812376E-2</v>
      </c>
      <c r="N64" s="37">
        <f t="shared" si="6"/>
        <v>86.249646551785574</v>
      </c>
      <c r="O64" s="147">
        <f t="shared" si="7"/>
        <v>86.249646551785574</v>
      </c>
      <c r="P64" s="149">
        <f>DEGREES(ASIN(COS(RADIANS(K64))*COS(RADIANS(C64))*COS(RADIANS('Data Entry-V'!$F$8))+SIN(RADIANS(C64))*SIN(RADIANS('Data Entry-V'!$F$8))))</f>
        <v>-10.488762228895787</v>
      </c>
      <c r="Q64" s="37">
        <f t="shared" si="9"/>
        <v>-5.4932176006139217</v>
      </c>
      <c r="R64" s="37" t="str">
        <f t="shared" si="10"/>
        <v/>
      </c>
      <c r="S64" s="90"/>
      <c r="T64" s="90"/>
      <c r="U64" s="90"/>
      <c r="V64" s="90"/>
    </row>
    <row r="65" spans="1:22" x14ac:dyDescent="0.2">
      <c r="A65" s="43" t="s">
        <v>103</v>
      </c>
      <c r="B65" s="46">
        <v>13.361599999999999</v>
      </c>
      <c r="C65" s="46">
        <v>2.0872000000000002</v>
      </c>
      <c r="D65" s="47">
        <v>5.7</v>
      </c>
      <c r="E65" s="47">
        <v>0.05</v>
      </c>
      <c r="F65" s="47">
        <v>0.02</v>
      </c>
      <c r="G65" s="37">
        <f t="shared" si="8"/>
        <v>2415019.5</v>
      </c>
      <c r="H65" s="37">
        <f>6.6925-'Data Entry-V'!$G$9+(24*((1.0027379093*(G65-2447892.5))-FLOOR(1.0027379093*(G65-2447892.5),1)))-(ROUNDDOWN(((6.6925-'Data Entry-V'!$G$9+(24*((1.0027379093*(G65-2447892.5))-FLOOR(1.0027379093*(G65-2447892.5),1))))/24),0)*24)</f>
        <v>6.6134819464012971</v>
      </c>
      <c r="I65" s="37">
        <f>H65-B65</f>
        <v>-6.7481180535987022</v>
      </c>
      <c r="J65" s="37">
        <f t="shared" si="3"/>
        <v>-101.22177080398053</v>
      </c>
      <c r="K65" s="37">
        <f t="shared" si="4"/>
        <v>258.77822919601948</v>
      </c>
      <c r="L65" s="37">
        <f t="shared" si="5"/>
        <v>0.9808812808806221</v>
      </c>
      <c r="M65" s="37">
        <f>TAN(RADIANS(C65))*COS(RADIANS('Data Entry-V'!$F$8))-SIN(RADIANS('Data Entry-V'!$F$8))*COS(RADIANS(K65))</f>
        <v>3.6444634694150088E-2</v>
      </c>
      <c r="N65" s="37">
        <f t="shared" si="6"/>
        <v>87.872154653814945</v>
      </c>
      <c r="O65" s="147">
        <f t="shared" si="7"/>
        <v>87.872154653814945</v>
      </c>
      <c r="P65" s="149">
        <f>DEGREES(ASIN(COS(RADIANS(K65))*COS(RADIANS(C65))*COS(RADIANS('Data Entry-V'!$F$8))+SIN(RADIANS(C65))*SIN(RADIANS('Data Entry-V'!$F$8))))</f>
        <v>-11.214229195525409</v>
      </c>
      <c r="Q65" s="37">
        <f t="shared" si="9"/>
        <v>-5.1419707951911349</v>
      </c>
      <c r="R65" s="37" t="str">
        <f t="shared" si="10"/>
        <v/>
      </c>
      <c r="S65" s="90"/>
      <c r="T65" s="90"/>
      <c r="U65" s="90"/>
      <c r="V65" s="90"/>
    </row>
    <row r="66" spans="1:22" x14ac:dyDescent="0.2">
      <c r="A66" s="43" t="s">
        <v>104</v>
      </c>
      <c r="B66" s="46">
        <v>13.420500000000001</v>
      </c>
      <c r="C66" s="46">
        <v>54.987900000000003</v>
      </c>
      <c r="D66" s="47">
        <v>4.03</v>
      </c>
      <c r="E66" s="47">
        <v>0.15</v>
      </c>
      <c r="F66" s="47">
        <v>0.09</v>
      </c>
      <c r="G66" s="37">
        <f t="shared" ref="G66:G98" si="11">IF($U$3&gt;0.5,($U$2+2415019)+((((HOUR($U$3)*60)+MINUTE($U$3))/1440+DAY($U$2))-0.5)-DAY($U$2),($U$2+2415019)+((((HOUR($U$3)*60)+MINUTE($U$3))/1440+DAY($U$2))-0.5)-DAY($U$2)+1)</f>
        <v>2415019.5</v>
      </c>
      <c r="H66" s="37">
        <f>6.6925-'Data Entry-V'!$G$9+(24*((1.0027379093*(G66-2447892.5))-FLOOR(1.0027379093*(G66-2447892.5),1)))-(ROUNDDOWN(((6.6925-'Data Entry-V'!$G$9+(24*((1.0027379093*(G66-2447892.5))-FLOOR(1.0027379093*(G66-2447892.5),1))))/24),0)*24)</f>
        <v>6.6134819464012971</v>
      </c>
      <c r="I66" s="37">
        <f>H66-B66</f>
        <v>-6.8070180535987035</v>
      </c>
      <c r="J66" s="37">
        <f t="shared" si="3"/>
        <v>-102.10527080398055</v>
      </c>
      <c r="K66" s="37">
        <f t="shared" si="4"/>
        <v>257.89472919601945</v>
      </c>
      <c r="L66" s="37">
        <f t="shared" si="5"/>
        <v>0.97776394920521881</v>
      </c>
      <c r="M66" s="37">
        <f>TAN(RADIANS(C66))*COS(RADIANS('Data Entry-V'!$F$8))-SIN(RADIANS('Data Entry-V'!$F$8))*COS(RADIANS(K66))</f>
        <v>1.4275062814197754</v>
      </c>
      <c r="N66" s="37">
        <f t="shared" si="6"/>
        <v>34.409016489895237</v>
      </c>
      <c r="O66" s="147">
        <f t="shared" si="7"/>
        <v>34.409016489895237</v>
      </c>
      <c r="P66" s="149">
        <f>DEGREES(ASIN(COS(RADIANS(K66))*COS(RADIANS(C66))*COS(RADIANS('Data Entry-V'!$F$8))+SIN(RADIANS(C66))*SIN(RADIANS('Data Entry-V'!$F$8))))</f>
        <v>-6.9105788787677787</v>
      </c>
      <c r="Q66" s="37">
        <f t="shared" ref="Q66:Q97" si="12">1/(COS(2*ATAN(1)-(P66*(ATAN(1)/45))))</f>
        <v>-8.3111608327196951</v>
      </c>
      <c r="R66" s="37" t="str">
        <f t="shared" ref="R66:R97" si="13">IF(P66&gt;10,Q66-((Q66-1)*(0.0018161+(Q66-1)*(0.002875+(Q66-1)*0.0008083))),"")</f>
        <v/>
      </c>
      <c r="S66" s="90"/>
      <c r="T66" s="102"/>
      <c r="U66" s="90"/>
      <c r="V66" s="90"/>
    </row>
    <row r="67" spans="1:22" x14ac:dyDescent="0.2">
      <c r="A67" s="43" t="s">
        <v>105</v>
      </c>
      <c r="B67" s="46">
        <v>13.574199999999999</v>
      </c>
      <c r="C67" s="46">
        <v>49.016100000000002</v>
      </c>
      <c r="D67" s="47">
        <v>4.7</v>
      </c>
      <c r="E67" s="47">
        <v>0.12</v>
      </c>
      <c r="F67" s="47">
        <v>0.11</v>
      </c>
      <c r="G67" s="37">
        <f t="shared" si="11"/>
        <v>2415019.5</v>
      </c>
      <c r="H67" s="37">
        <f>6.6925-'Data Entry-V'!$G$9+(24*((1.0027379093*(G67-2447892.5))-FLOOR(1.0027379093*(G67-2447892.5),1)))-(ROUNDDOWN(((6.6925-'Data Entry-V'!$G$9+(24*((1.0027379093*(G67-2447892.5))-FLOOR(1.0027379093*(G67-2447892.5),1))))/24),0)*24)</f>
        <v>6.6134819464012971</v>
      </c>
      <c r="I67" s="37">
        <f>H67-B67</f>
        <v>-6.9607180535987023</v>
      </c>
      <c r="J67" s="37">
        <f t="shared" ref="J67:J98" si="14">I67*15</f>
        <v>-104.41077080398054</v>
      </c>
      <c r="K67" s="37">
        <f t="shared" ref="K67:K98" si="15">IF(J67&lt;0,J67+360,J67)</f>
        <v>255.58922919601946</v>
      </c>
      <c r="L67" s="37">
        <f t="shared" ref="L67:L97" si="16">-SIN(RADIANS(K67))</f>
        <v>0.96853639379938039</v>
      </c>
      <c r="M67" s="37">
        <f>TAN(RADIANS(C67))*COS(RADIANS('Data Entry-V'!$F$8))-SIN(RADIANS('Data Entry-V'!$F$8))*COS(RADIANS(K67))</f>
        <v>1.1510214743582228</v>
      </c>
      <c r="N67" s="37">
        <f t="shared" ref="N67:N97" si="17">DEGREES(ATAN2(M67,L67))</f>
        <v>40.079207171409593</v>
      </c>
      <c r="O67" s="147">
        <f t="shared" ref="O67:O98" si="18">IF(N67&lt;0,N67+360,N67)</f>
        <v>40.079207171409593</v>
      </c>
      <c r="P67" s="149">
        <f>DEGREES(ASIN(COS(RADIANS(K67))*COS(RADIANS(C67))*COS(RADIANS('Data Entry-V'!$F$8))+SIN(RADIANS(C67))*SIN(RADIANS('Data Entry-V'!$F$8))))</f>
        <v>-9.3939573347696896</v>
      </c>
      <c r="Q67" s="37">
        <f t="shared" si="12"/>
        <v>-6.1266283495718303</v>
      </c>
      <c r="R67" s="37" t="str">
        <f t="shared" si="13"/>
        <v/>
      </c>
      <c r="S67" s="90"/>
      <c r="T67" s="90"/>
      <c r="U67" s="90"/>
      <c r="V67" s="90"/>
    </row>
    <row r="68" spans="1:22" x14ac:dyDescent="0.2">
      <c r="A68" s="43" t="s">
        <v>106</v>
      </c>
      <c r="B68" s="46">
        <v>14.0275</v>
      </c>
      <c r="C68" s="46">
        <v>1.5444</v>
      </c>
      <c r="D68" s="47">
        <v>4.2699999999999996</v>
      </c>
      <c r="E68" s="47">
        <v>0.09</v>
      </c>
      <c r="F68" s="47">
        <v>0.14000000000000001</v>
      </c>
      <c r="G68" s="37">
        <f t="shared" si="11"/>
        <v>2415019.5</v>
      </c>
      <c r="H68" s="37">
        <f>6.6925-'Data Entry-V'!$G$9+(24*((1.0027379093*(G68-2447892.5))-FLOOR(1.0027379093*(G68-2447892.5),1)))-(ROUNDDOWN(((6.6925-'Data Entry-V'!$G$9+(24*((1.0027379093*(G68-2447892.5))-FLOOR(1.0027379093*(G68-2447892.5),1))))/24),0)*24)</f>
        <v>6.6134819464012971</v>
      </c>
      <c r="I68" s="37">
        <f>H68-B68</f>
        <v>-7.4140180535987028</v>
      </c>
      <c r="J68" s="37">
        <f t="shared" si="14"/>
        <v>-111.21027080398053</v>
      </c>
      <c r="K68" s="37">
        <f t="shared" si="15"/>
        <v>248.78972919601947</v>
      </c>
      <c r="L68" s="37">
        <f t="shared" si="16"/>
        <v>0.93225896165221911</v>
      </c>
      <c r="M68" s="37">
        <f>TAN(RADIANS(C68))*COS(RADIANS('Data Entry-V'!$F$8))-SIN(RADIANS('Data Entry-V'!$F$8))*COS(RADIANS(K68))</f>
        <v>2.6961395017142946E-2</v>
      </c>
      <c r="N68" s="37">
        <f t="shared" si="17"/>
        <v>88.343439169605631</v>
      </c>
      <c r="O68" s="147">
        <f t="shared" si="18"/>
        <v>88.343439169605631</v>
      </c>
      <c r="P68" s="149">
        <f>DEGREES(ASIN(COS(RADIANS(K68))*COS(RADIANS(C68))*COS(RADIANS('Data Entry-V'!$F$8))+SIN(RADIANS(C68))*SIN(RADIANS('Data Entry-V'!$F$8))))</f>
        <v>-21.202193790508879</v>
      </c>
      <c r="Q68" s="37">
        <f t="shared" si="12"/>
        <v>-2.7650258821072864</v>
      </c>
      <c r="R68" s="37" t="str">
        <f t="shared" si="13"/>
        <v/>
      </c>
      <c r="S68" s="90"/>
      <c r="T68" s="90"/>
      <c r="U68" s="90"/>
      <c r="V68" s="90"/>
    </row>
    <row r="69" spans="1:22" x14ac:dyDescent="0.2">
      <c r="A69" s="43" t="s">
        <v>107</v>
      </c>
      <c r="B69" s="46">
        <v>15.756500000000001</v>
      </c>
      <c r="C69" s="46">
        <v>5.4473000000000003</v>
      </c>
      <c r="D69" s="47">
        <v>5.58</v>
      </c>
      <c r="E69" s="47">
        <v>0.04</v>
      </c>
      <c r="F69" s="47">
        <v>0.03</v>
      </c>
      <c r="G69" s="37">
        <f t="shared" si="11"/>
        <v>2415019.5</v>
      </c>
      <c r="H69" s="37">
        <f>6.6925-'Data Entry-V'!$G$9+(24*((1.0027379093*(G69-2447892.5))-FLOOR(1.0027379093*(G69-2447892.5),1)))-(ROUNDDOWN(((6.6925-'Data Entry-V'!$G$9+(24*((1.0027379093*(G69-2447892.5))-FLOOR(1.0027379093*(G69-2447892.5),1))))/24),0)*24)</f>
        <v>6.6134819464012971</v>
      </c>
      <c r="I69" s="37">
        <f>H69-B69</f>
        <v>-9.1430180535987038</v>
      </c>
      <c r="J69" s="37">
        <f t="shared" si="14"/>
        <v>-137.14527080398057</v>
      </c>
      <c r="K69" s="37">
        <f t="shared" si="15"/>
        <v>222.85472919601943</v>
      </c>
      <c r="L69" s="37">
        <f t="shared" si="16"/>
        <v>0.68014185637968017</v>
      </c>
      <c r="M69" s="37">
        <f>TAN(RADIANS(C69))*COS(RADIANS('Data Entry-V'!$F$8))-SIN(RADIANS('Data Entry-V'!$F$8))*COS(RADIANS(K69))</f>
        <v>9.5360813736031946E-2</v>
      </c>
      <c r="N69" s="37">
        <f t="shared" si="17"/>
        <v>82.018744113186415</v>
      </c>
      <c r="O69" s="147">
        <f t="shared" si="18"/>
        <v>82.018744113186415</v>
      </c>
      <c r="P69" s="149">
        <f>DEGREES(ASIN(COS(RADIANS(K69))*COS(RADIANS(C69))*COS(RADIANS('Data Entry-V'!$F$8))+SIN(RADIANS(C69))*SIN(RADIANS('Data Entry-V'!$F$8))))</f>
        <v>-46.867106183808779</v>
      </c>
      <c r="Q69" s="37">
        <f t="shared" si="12"/>
        <v>-1.3702949660514774</v>
      </c>
      <c r="R69" s="37" t="str">
        <f t="shared" si="13"/>
        <v/>
      </c>
      <c r="S69" s="90"/>
      <c r="T69" s="90"/>
      <c r="U69" s="90"/>
      <c r="V69" s="90"/>
    </row>
    <row r="70" spans="1:22" x14ac:dyDescent="0.2">
      <c r="A70" s="43" t="s">
        <v>108</v>
      </c>
      <c r="B70" s="46">
        <v>16.0383</v>
      </c>
      <c r="C70" s="46">
        <v>22.804600000000001</v>
      </c>
      <c r="D70" s="47">
        <v>4.83</v>
      </c>
      <c r="E70" s="47">
        <v>7.0000000000000007E-2</v>
      </c>
      <c r="F70" s="47">
        <v>0.05</v>
      </c>
      <c r="G70" s="37">
        <f t="shared" si="11"/>
        <v>2415019.5</v>
      </c>
      <c r="H70" s="37">
        <f>6.6925-'Data Entry-V'!$G$9+(24*((1.0027379093*(G70-2447892.5))-FLOOR(1.0027379093*(G70-2447892.5),1)))-(ROUNDDOWN(((6.6925-'Data Entry-V'!$G$9+(24*((1.0027379093*(G70-2447892.5))-FLOOR(1.0027379093*(G70-2447892.5),1))))/24),0)*24)</f>
        <v>6.6134819464012971</v>
      </c>
      <c r="I70" s="37">
        <f>H70-B70</f>
        <v>-9.4248180535987025</v>
      </c>
      <c r="J70" s="37">
        <f t="shared" si="14"/>
        <v>-141.37227080398054</v>
      </c>
      <c r="K70" s="37">
        <f t="shared" si="15"/>
        <v>218.62772919601946</v>
      </c>
      <c r="L70" s="37">
        <f t="shared" si="16"/>
        <v>0.62425775278798001</v>
      </c>
      <c r="M70" s="37">
        <f>TAN(RADIANS(C70))*COS(RADIANS('Data Entry-V'!$F$8))-SIN(RADIANS('Data Entry-V'!$F$8))*COS(RADIANS(K70))</f>
        <v>0.42045576809800278</v>
      </c>
      <c r="N70" s="37">
        <f t="shared" si="17"/>
        <v>56.03858617690031</v>
      </c>
      <c r="O70" s="147">
        <f t="shared" si="18"/>
        <v>56.03858617690031</v>
      </c>
      <c r="P70" s="149">
        <f>DEGREES(ASIN(COS(RADIANS(K70))*COS(RADIANS(C70))*COS(RADIANS('Data Entry-V'!$F$8))+SIN(RADIANS(C70))*SIN(RADIANS('Data Entry-V'!$F$8))))</f>
        <v>-46.067046952325356</v>
      </c>
      <c r="Q70" s="37">
        <f t="shared" si="12"/>
        <v>-1.3885953746008328</v>
      </c>
      <c r="R70" s="37" t="str">
        <f t="shared" si="13"/>
        <v/>
      </c>
      <c r="S70" s="90"/>
      <c r="T70" s="90"/>
      <c r="U70" s="90"/>
      <c r="V70" s="90"/>
    </row>
    <row r="71" spans="1:22" x14ac:dyDescent="0.2">
      <c r="A71" s="43" t="s">
        <v>27</v>
      </c>
      <c r="B71" s="46">
        <v>16.4664</v>
      </c>
      <c r="C71" s="46">
        <v>68.768100000000004</v>
      </c>
      <c r="D71" s="47">
        <v>5.01</v>
      </c>
      <c r="E71" s="47">
        <v>-0.06</v>
      </c>
      <c r="F71" s="47">
        <v>-0.1</v>
      </c>
      <c r="G71" s="37">
        <f t="shared" si="11"/>
        <v>2415019.5</v>
      </c>
      <c r="H71" s="37">
        <f>6.6925-'Data Entry-V'!$G$9+(24*((1.0027379093*(G71-2447892.5))-FLOOR(1.0027379093*(G71-2447892.5),1)))-(ROUNDDOWN(((6.6925-'Data Entry-V'!$G$9+(24*((1.0027379093*(G71-2447892.5))-FLOOR(1.0027379093*(G71-2447892.5),1))))/24),0)*24)</f>
        <v>6.6134819464012971</v>
      </c>
      <c r="I71" s="37">
        <f>H71-B71</f>
        <v>-9.8529180535987031</v>
      </c>
      <c r="J71" s="37">
        <f t="shared" si="14"/>
        <v>-147.79377080398055</v>
      </c>
      <c r="K71" s="37">
        <f t="shared" si="15"/>
        <v>212.20622919601945</v>
      </c>
      <c r="L71" s="37">
        <f t="shared" si="16"/>
        <v>0.53296827102558497</v>
      </c>
      <c r="M71" s="37">
        <f>TAN(RADIANS(C71))*COS(RADIANS('Data Entry-V'!$F$8))-SIN(RADIANS('Data Entry-V'!$F$8))*COS(RADIANS(K71))</f>
        <v>2.5739025414910111</v>
      </c>
      <c r="N71" s="37">
        <f t="shared" si="17"/>
        <v>11.698691112423308</v>
      </c>
      <c r="O71" s="147">
        <f t="shared" si="18"/>
        <v>11.698691112423308</v>
      </c>
      <c r="P71" s="149">
        <f>DEGREES(ASIN(COS(RADIANS(K71))*COS(RADIANS(C71))*COS(RADIANS('Data Entry-V'!$F$8))+SIN(RADIANS(C71))*SIN(RADIANS('Data Entry-V'!$F$8))))</f>
        <v>-17.843762542800256</v>
      </c>
      <c r="Q71" s="37">
        <f t="shared" si="12"/>
        <v>-3.2634684291012963</v>
      </c>
      <c r="R71" s="37" t="str">
        <f t="shared" si="13"/>
        <v/>
      </c>
      <c r="S71" s="90"/>
      <c r="T71" s="90"/>
      <c r="U71" s="90"/>
      <c r="V71" s="90"/>
    </row>
    <row r="72" spans="1:22" x14ac:dyDescent="0.2">
      <c r="A72" s="43" t="s">
        <v>109</v>
      </c>
      <c r="B72" s="46">
        <v>16.5684</v>
      </c>
      <c r="C72" s="46">
        <v>42.437399999999997</v>
      </c>
      <c r="D72" s="47">
        <v>4.2</v>
      </c>
      <c r="E72" s="47">
        <v>-0.02</v>
      </c>
      <c r="F72" s="47">
        <v>-0.1</v>
      </c>
      <c r="G72" s="37">
        <f t="shared" si="11"/>
        <v>2415019.5</v>
      </c>
      <c r="H72" s="37">
        <f>6.6925-'Data Entry-V'!$G$9+(24*((1.0027379093*(G72-2447892.5))-FLOOR(1.0027379093*(G72-2447892.5),1)))-(ROUNDDOWN(((6.6925-'Data Entry-V'!$G$9+(24*((1.0027379093*(G72-2447892.5))-FLOOR(1.0027379093*(G72-2447892.5),1))))/24),0)*24)</f>
        <v>6.6134819464012971</v>
      </c>
      <c r="I72" s="37">
        <f>H72-B72</f>
        <v>-9.9549180535987034</v>
      </c>
      <c r="J72" s="37">
        <f t="shared" si="14"/>
        <v>-149.32377080398055</v>
      </c>
      <c r="K72" s="37">
        <f t="shared" si="15"/>
        <v>210.67622919601945</v>
      </c>
      <c r="L72" s="37">
        <f t="shared" si="16"/>
        <v>0.51018613950880753</v>
      </c>
      <c r="M72" s="37">
        <f>TAN(RADIANS(C72))*COS(RADIANS('Data Entry-V'!$F$8))-SIN(RADIANS('Data Entry-V'!$F$8))*COS(RADIANS(K72))</f>
        <v>0.91432321186162258</v>
      </c>
      <c r="N72" s="37">
        <f t="shared" si="17"/>
        <v>29.161220338503874</v>
      </c>
      <c r="O72" s="147">
        <f t="shared" si="18"/>
        <v>29.161220338503874</v>
      </c>
      <c r="P72" s="149">
        <f>DEGREES(ASIN(COS(RADIANS(K72))*COS(RADIANS(C72))*COS(RADIANS('Data Entry-V'!$F$8))+SIN(RADIANS(C72))*SIN(RADIANS('Data Entry-V'!$F$8))))</f>
        <v>-39.400715816096593</v>
      </c>
      <c r="Q72" s="37">
        <f t="shared" si="12"/>
        <v>-1.5754478000654493</v>
      </c>
      <c r="R72" s="37" t="str">
        <f t="shared" si="13"/>
        <v/>
      </c>
      <c r="S72" s="90"/>
      <c r="T72" s="90"/>
      <c r="U72" s="90"/>
      <c r="V72" s="90"/>
    </row>
    <row r="73" spans="1:22" x14ac:dyDescent="0.2">
      <c r="A73" s="43" t="s">
        <v>48</v>
      </c>
      <c r="B73" s="46">
        <v>17.089700000000001</v>
      </c>
      <c r="C73" s="46">
        <v>12.7408</v>
      </c>
      <c r="D73" s="47">
        <v>4.91</v>
      </c>
      <c r="E73" s="47">
        <v>0.12</v>
      </c>
      <c r="F73" s="47">
        <v>0.06</v>
      </c>
      <c r="G73" s="37">
        <f t="shared" si="11"/>
        <v>2415019.5</v>
      </c>
      <c r="H73" s="37">
        <f>6.6925-'Data Entry-V'!$G$9+(24*((1.0027379093*(G73-2447892.5))-FLOOR(1.0027379093*(G73-2447892.5),1)))-(ROUNDDOWN(((6.6925-'Data Entry-V'!$G$9+(24*((1.0027379093*(G73-2447892.5))-FLOOR(1.0027379093*(G73-2447892.5),1))))/24),0)*24)</f>
        <v>6.6134819464012971</v>
      </c>
      <c r="I73" s="37">
        <f>H73-B73</f>
        <v>-10.476218053598704</v>
      </c>
      <c r="J73" s="37">
        <f t="shared" si="14"/>
        <v>-157.14327080398056</v>
      </c>
      <c r="K73" s="37">
        <f t="shared" si="15"/>
        <v>202.85672919601944</v>
      </c>
      <c r="L73" s="37">
        <f t="shared" si="16"/>
        <v>0.38842814343798865</v>
      </c>
      <c r="M73" s="37">
        <f>TAN(RADIANS(C73))*COS(RADIANS('Data Entry-V'!$F$8))-SIN(RADIANS('Data Entry-V'!$F$8))*COS(RADIANS(K73))</f>
        <v>0.22610811269774886</v>
      </c>
      <c r="N73" s="37">
        <f t="shared" si="17"/>
        <v>59.795864472166791</v>
      </c>
      <c r="O73" s="147">
        <f t="shared" si="18"/>
        <v>59.795864472166791</v>
      </c>
      <c r="P73" s="149">
        <f>DEGREES(ASIN(COS(RADIANS(K73))*COS(RADIANS(C73))*COS(RADIANS('Data Entry-V'!$F$8))+SIN(RADIANS(C73))*SIN(RADIANS('Data Entry-V'!$F$8))))</f>
        <v>-63.99948752262739</v>
      </c>
      <c r="Q73" s="37">
        <f t="shared" si="12"/>
        <v>-1.1126067942489188</v>
      </c>
      <c r="R73" s="37" t="str">
        <f t="shared" si="13"/>
        <v/>
      </c>
      <c r="S73" s="90"/>
      <c r="T73" s="90"/>
      <c r="U73" s="90"/>
      <c r="V73" s="90"/>
    </row>
    <row r="74" spans="1:22" x14ac:dyDescent="0.2">
      <c r="A74" s="43" t="s">
        <v>110</v>
      </c>
      <c r="B74" s="46">
        <v>17.294499999999999</v>
      </c>
      <c r="C74" s="46">
        <v>37.291899999999998</v>
      </c>
      <c r="D74" s="47">
        <v>4.66</v>
      </c>
      <c r="E74" s="47">
        <v>0.05</v>
      </c>
      <c r="F74" s="47">
        <v>-0.03</v>
      </c>
      <c r="G74" s="37">
        <f t="shared" si="11"/>
        <v>2415019.5</v>
      </c>
      <c r="H74" s="37">
        <f>6.6925-'Data Entry-V'!$G$9+(24*((1.0027379093*(G74-2447892.5))-FLOOR(1.0027379093*(G74-2447892.5),1)))-(ROUNDDOWN(((6.6925-'Data Entry-V'!$G$9+(24*((1.0027379093*(G74-2447892.5))-FLOOR(1.0027379093*(G74-2447892.5),1))))/24),0)*24)</f>
        <v>6.6134819464012971</v>
      </c>
      <c r="I74" s="37">
        <f>H74-B74</f>
        <v>-10.681018053598702</v>
      </c>
      <c r="J74" s="37">
        <f t="shared" si="14"/>
        <v>-160.21527080398053</v>
      </c>
      <c r="K74" s="37">
        <f t="shared" si="15"/>
        <v>199.78472919601947</v>
      </c>
      <c r="L74" s="37">
        <f t="shared" si="16"/>
        <v>0.33848713920895418</v>
      </c>
      <c r="M74" s="37">
        <f>TAN(RADIANS(C74))*COS(RADIANS('Data Entry-V'!$F$8))-SIN(RADIANS('Data Entry-V'!$F$8))*COS(RADIANS(K74))</f>
        <v>0.76157246448662264</v>
      </c>
      <c r="N74" s="37">
        <f t="shared" si="17"/>
        <v>23.963147888437078</v>
      </c>
      <c r="O74" s="147">
        <f t="shared" si="18"/>
        <v>23.963147888437078</v>
      </c>
      <c r="P74" s="149">
        <f>DEGREES(ASIN(COS(RADIANS(K74))*COS(RADIANS(C74))*COS(RADIANS('Data Entry-V'!$F$8))+SIN(RADIANS(C74))*SIN(RADIANS('Data Entry-V'!$F$8))))</f>
        <v>-48.469086148419521</v>
      </c>
      <c r="Q74" s="37">
        <f t="shared" si="12"/>
        <v>-1.335830274153897</v>
      </c>
      <c r="R74" s="37" t="str">
        <f t="shared" si="13"/>
        <v/>
      </c>
      <c r="S74" s="90"/>
      <c r="T74" s="90"/>
      <c r="U74" s="90"/>
      <c r="V74" s="90"/>
    </row>
    <row r="75" spans="1:22" x14ac:dyDescent="0.2">
      <c r="A75" s="43" t="s">
        <v>136</v>
      </c>
      <c r="B75" s="46">
        <v>18.029199999999999</v>
      </c>
      <c r="C75" s="46">
        <v>1.3050999999999999</v>
      </c>
      <c r="D75" s="47">
        <v>4.42</v>
      </c>
      <c r="E75" s="47">
        <v>0.04</v>
      </c>
      <c r="F75" s="47">
        <v>0.02</v>
      </c>
      <c r="G75" s="37">
        <f t="shared" si="11"/>
        <v>2415019.5</v>
      </c>
      <c r="H75" s="37">
        <f>6.6925-'Data Entry-V'!$G$9+(24*((1.0027379093*(G75-2447892.5))-FLOOR(1.0027379093*(G75-2447892.5),1)))-(ROUNDDOWN(((6.6925-'Data Entry-V'!$G$9+(24*((1.0027379093*(G75-2447892.5))-FLOOR(1.0027379093*(G75-2447892.5),1))))/24),0)*24)</f>
        <v>6.6134819464012971</v>
      </c>
      <c r="I75" s="37">
        <f>H75-B75</f>
        <v>-11.415718053598702</v>
      </c>
      <c r="J75" s="37">
        <f t="shared" si="14"/>
        <v>-171.23577080398053</v>
      </c>
      <c r="K75" s="37">
        <f t="shared" si="15"/>
        <v>188.76422919601947</v>
      </c>
      <c r="L75" s="37">
        <f t="shared" si="16"/>
        <v>0.15236883744062127</v>
      </c>
      <c r="M75" s="37">
        <f>TAN(RADIANS(C75))*COS(RADIANS('Data Entry-V'!$F$8))-SIN(RADIANS('Data Entry-V'!$F$8))*COS(RADIANS(K75))</f>
        <v>2.2782232395645835E-2</v>
      </c>
      <c r="N75" s="37">
        <f t="shared" si="17"/>
        <v>81.496116960395014</v>
      </c>
      <c r="O75" s="147">
        <f t="shared" si="18"/>
        <v>81.496116960395014</v>
      </c>
      <c r="P75" s="149">
        <f>DEGREES(ASIN(COS(RADIANS(K75))*COS(RADIANS(C75))*COS(RADIANS('Data Entry-V'!$F$8))+SIN(RADIANS(C75))*SIN(RADIANS('Data Entry-V'!$F$8))))</f>
        <v>-81.139881852746015</v>
      </c>
      <c r="Q75" s="37">
        <f t="shared" si="12"/>
        <v>-1.0120767929340857</v>
      </c>
      <c r="R75" s="37" t="str">
        <f t="shared" si="13"/>
        <v/>
      </c>
      <c r="S75" s="90"/>
      <c r="T75" s="90"/>
      <c r="U75" s="90"/>
      <c r="V75" s="90"/>
    </row>
    <row r="76" spans="1:22" x14ac:dyDescent="0.2">
      <c r="A76" s="43" t="s">
        <v>111</v>
      </c>
      <c r="B76" s="46">
        <v>17.536999999999999</v>
      </c>
      <c r="C76" s="46">
        <v>86.586799999999997</v>
      </c>
      <c r="D76" s="47">
        <v>4.3499999999999996</v>
      </c>
      <c r="E76" s="47">
        <v>0.01</v>
      </c>
      <c r="F76" s="47">
        <v>0.04</v>
      </c>
      <c r="G76" s="37">
        <f t="shared" si="11"/>
        <v>2415019.5</v>
      </c>
      <c r="H76" s="37">
        <f>6.6925-'Data Entry-V'!$G$9+(24*((1.0027379093*(G76-2447892.5))-FLOOR(1.0027379093*(G76-2447892.5),1)))-(ROUNDDOWN(((6.6925-'Data Entry-V'!$G$9+(24*((1.0027379093*(G76-2447892.5))-FLOOR(1.0027379093*(G76-2447892.5),1))))/24),0)*24)</f>
        <v>6.6134819464012971</v>
      </c>
      <c r="I76" s="37">
        <f>H76-B76</f>
        <v>-10.923518053598702</v>
      </c>
      <c r="J76" s="37">
        <f t="shared" si="14"/>
        <v>-163.85277080398052</v>
      </c>
      <c r="K76" s="37">
        <f t="shared" si="15"/>
        <v>196.14722919601948</v>
      </c>
      <c r="L76" s="37">
        <f t="shared" si="16"/>
        <v>0.27810653403330887</v>
      </c>
      <c r="M76" s="37">
        <f>TAN(RADIANS(C76))*COS(RADIANS('Data Entry-V'!$F$8))-SIN(RADIANS('Data Entry-V'!$F$8))*COS(RADIANS(K76))</f>
        <v>16.766666735821985</v>
      </c>
      <c r="N76" s="37">
        <f t="shared" si="17"/>
        <v>0.95027054812076528</v>
      </c>
      <c r="O76" s="147">
        <f t="shared" si="18"/>
        <v>0.95027054812076528</v>
      </c>
      <c r="P76" s="149">
        <f>DEGREES(ASIN(COS(RADIANS(K76))*COS(RADIANS(C76))*COS(RADIANS('Data Entry-V'!$F$8))+SIN(RADIANS(C76))*SIN(RADIANS('Data Entry-V'!$F$8))))</f>
        <v>-3.2783998913813828</v>
      </c>
      <c r="Q76" s="37">
        <f t="shared" si="12"/>
        <v>-17.486291407175962</v>
      </c>
      <c r="R76" s="37" t="str">
        <f t="shared" si="13"/>
        <v/>
      </c>
      <c r="S76" s="90"/>
      <c r="T76" s="90"/>
      <c r="U76" s="90"/>
      <c r="V76" s="90"/>
    </row>
    <row r="77" spans="1:22" x14ac:dyDescent="0.2">
      <c r="A77" s="43" t="s">
        <v>112</v>
      </c>
      <c r="B77" s="46">
        <v>18.398499999999999</v>
      </c>
      <c r="C77" s="46">
        <v>58.801099999999998</v>
      </c>
      <c r="D77" s="47">
        <v>4.9800000000000004</v>
      </c>
      <c r="E77" s="47">
        <v>0.08</v>
      </c>
      <c r="F77" s="47">
        <v>0.05</v>
      </c>
      <c r="G77" s="37">
        <f t="shared" si="11"/>
        <v>2415019.5</v>
      </c>
      <c r="H77" s="37">
        <f>6.6925-'Data Entry-V'!$G$9+(24*((1.0027379093*(G77-2447892.5))-FLOOR(1.0027379093*(G77-2447892.5),1)))-(ROUNDDOWN(((6.6925-'Data Entry-V'!$G$9+(24*((1.0027379093*(G77-2447892.5))-FLOOR(1.0027379093*(G77-2447892.5),1))))/24),0)*24)</f>
        <v>6.6134819464012971</v>
      </c>
      <c r="I77" s="37">
        <f>H77-B77</f>
        <v>-11.785018053598701</v>
      </c>
      <c r="J77" s="37">
        <f t="shared" si="14"/>
        <v>-176.77527080398053</v>
      </c>
      <c r="K77" s="37">
        <f t="shared" si="15"/>
        <v>183.22472919601947</v>
      </c>
      <c r="L77" s="37">
        <f t="shared" si="16"/>
        <v>5.6252432697012592E-2</v>
      </c>
      <c r="M77" s="37">
        <f>TAN(RADIANS(C77))*COS(RADIANS('Data Entry-V'!$F$8))-SIN(RADIANS('Data Entry-V'!$F$8))*COS(RADIANS(K77))</f>
        <v>1.6512678043843871</v>
      </c>
      <c r="N77" s="37">
        <f t="shared" si="17"/>
        <v>1.9510954301025092</v>
      </c>
      <c r="O77" s="147">
        <f t="shared" si="18"/>
        <v>1.9510954301025092</v>
      </c>
      <c r="P77" s="149">
        <f>DEGREES(ASIN(COS(RADIANS(K77))*COS(RADIANS(C77))*COS(RADIANS('Data Entry-V'!$F$8))+SIN(RADIANS(C77))*SIN(RADIANS('Data Entry-V'!$F$8))))</f>
        <v>-31.143974283133961</v>
      </c>
      <c r="Q77" s="37">
        <f t="shared" si="12"/>
        <v>-1.9335240575114925</v>
      </c>
      <c r="R77" s="37" t="str">
        <f t="shared" si="13"/>
        <v/>
      </c>
      <c r="S77" s="90"/>
      <c r="T77" s="90"/>
      <c r="U77" s="90"/>
      <c r="V77" s="90"/>
    </row>
    <row r="78" spans="1:22" x14ac:dyDescent="0.2">
      <c r="A78" s="43" t="s">
        <v>39</v>
      </c>
      <c r="B78" s="46">
        <v>18.7837</v>
      </c>
      <c r="C78" s="46">
        <v>18.182200000000002</v>
      </c>
      <c r="D78" s="47">
        <v>4.3600000000000003</v>
      </c>
      <c r="E78" s="47">
        <v>0.13</v>
      </c>
      <c r="F78" s="47">
        <v>7.0000000000000007E-2</v>
      </c>
      <c r="G78" s="37">
        <f t="shared" si="11"/>
        <v>2415019.5</v>
      </c>
      <c r="H78" s="37">
        <f>6.6925-'Data Entry-V'!$G$9+(24*((1.0027379093*(G78-2447892.5))-FLOOR(1.0027379093*(G78-2447892.5),1)))-(ROUNDDOWN(((6.6925-'Data Entry-V'!$G$9+(24*((1.0027379093*(G78-2447892.5))-FLOOR(1.0027379093*(G78-2447892.5),1))))/24),0)*24)</f>
        <v>6.6134819464012971</v>
      </c>
      <c r="I78" s="37">
        <f>H78-B78</f>
        <v>-12.170218053598703</v>
      </c>
      <c r="J78" s="37">
        <f t="shared" si="14"/>
        <v>-182.55327080398052</v>
      </c>
      <c r="K78" s="37">
        <f t="shared" si="15"/>
        <v>177.44672919601948</v>
      </c>
      <c r="L78" s="37">
        <f t="shared" si="16"/>
        <v>-4.4548234386191793E-2</v>
      </c>
      <c r="M78" s="37">
        <f>TAN(RADIANS(C78))*COS(RADIANS('Data Entry-V'!$F$8))-SIN(RADIANS('Data Entry-V'!$F$8))*COS(RADIANS(K78))</f>
        <v>0.32843905480586677</v>
      </c>
      <c r="N78" s="37">
        <f t="shared" si="17"/>
        <v>-7.7242454336108208</v>
      </c>
      <c r="O78" s="147">
        <f t="shared" si="18"/>
        <v>352.2757545663892</v>
      </c>
      <c r="P78" s="149">
        <f>DEGREES(ASIN(COS(RADIANS(K78))*COS(RADIANS(C78))*COS(RADIANS('Data Entry-V'!$F$8))+SIN(RADIANS(C78))*SIN(RADIANS('Data Entry-V'!$F$8))))</f>
        <v>-71.645402751842852</v>
      </c>
      <c r="Q78" s="37">
        <f t="shared" si="12"/>
        <v>-1.0536010664056916</v>
      </c>
      <c r="R78" s="37" t="str">
        <f t="shared" si="13"/>
        <v/>
      </c>
      <c r="S78" s="90"/>
      <c r="T78" s="90"/>
      <c r="U78" s="90"/>
      <c r="V78" s="90"/>
    </row>
    <row r="79" spans="1:22" x14ac:dyDescent="0.2">
      <c r="A79" s="43" t="s">
        <v>113</v>
      </c>
      <c r="B79" s="46">
        <v>18.827000000000002</v>
      </c>
      <c r="C79" s="46">
        <v>0.83620000000000005</v>
      </c>
      <c r="D79" s="47">
        <v>6.24</v>
      </c>
      <c r="E79" s="47">
        <v>0.03</v>
      </c>
      <c r="F79" s="47">
        <v>0.01</v>
      </c>
      <c r="G79" s="37">
        <f t="shared" si="11"/>
        <v>2415019.5</v>
      </c>
      <c r="H79" s="37">
        <f>6.6925-'Data Entry-V'!$G$9+(24*((1.0027379093*(G79-2447892.5))-FLOOR(1.0027379093*(G79-2447892.5),1)))-(ROUNDDOWN(((6.6925-'Data Entry-V'!$G$9+(24*((1.0027379093*(G79-2447892.5))-FLOOR(1.0027379093*(G79-2447892.5),1))))/24),0)*24)</f>
        <v>6.6134819464012971</v>
      </c>
      <c r="I79" s="37">
        <f>H79-B79</f>
        <v>-12.213518053598705</v>
      </c>
      <c r="J79" s="37">
        <f t="shared" si="14"/>
        <v>-183.20277080398057</v>
      </c>
      <c r="K79" s="37">
        <f t="shared" si="15"/>
        <v>176.79722919601943</v>
      </c>
      <c r="L79" s="37">
        <f t="shared" si="16"/>
        <v>-5.5869789176157744E-2</v>
      </c>
      <c r="M79" s="37">
        <f>TAN(RADIANS(C79))*COS(RADIANS('Data Entry-V'!$F$8))-SIN(RADIANS('Data Entry-V'!$F$8))*COS(RADIANS(K79))</f>
        <v>1.4595479488098098E-2</v>
      </c>
      <c r="N79" s="37">
        <f t="shared" si="17"/>
        <v>-75.359202274770396</v>
      </c>
      <c r="O79" s="147">
        <f t="shared" si="18"/>
        <v>284.64079772522962</v>
      </c>
      <c r="P79" s="149">
        <f>DEGREES(ASIN(COS(RADIANS(K79))*COS(RADIANS(C79))*COS(RADIANS('Data Entry-V'!$F$8))+SIN(RADIANS(C79))*SIN(RADIANS('Data Entry-V'!$F$8))))</f>
        <v>-86.689978427750788</v>
      </c>
      <c r="Q79" s="37">
        <f t="shared" si="12"/>
        <v>-1.0016710549144852</v>
      </c>
      <c r="R79" s="37" t="str">
        <f t="shared" si="13"/>
        <v/>
      </c>
      <c r="S79" s="90"/>
      <c r="T79" s="90"/>
      <c r="U79" s="90"/>
      <c r="V79" s="90"/>
    </row>
    <row r="80" spans="1:22" x14ac:dyDescent="0.2">
      <c r="A80" s="43" t="s">
        <v>114</v>
      </c>
      <c r="B80" s="46">
        <v>19.296700000000001</v>
      </c>
      <c r="C80" s="46">
        <v>2.0316999999999998</v>
      </c>
      <c r="D80" s="47">
        <v>6.18</v>
      </c>
      <c r="E80" s="47">
        <v>0.01</v>
      </c>
      <c r="F80" s="47">
        <v>0.01</v>
      </c>
      <c r="G80" s="37">
        <f t="shared" si="11"/>
        <v>2415019.5</v>
      </c>
      <c r="H80" s="37">
        <f>6.6925-'Data Entry-V'!$G$9+(24*((1.0027379093*(G80-2447892.5))-FLOOR(1.0027379093*(G80-2447892.5),1)))-(ROUNDDOWN(((6.6925-'Data Entry-V'!$G$9+(24*((1.0027379093*(G80-2447892.5))-FLOOR(1.0027379093*(G80-2447892.5),1))))/24),0)*24)</f>
        <v>6.6134819464012971</v>
      </c>
      <c r="I80" s="37">
        <f>H80-B80</f>
        <v>-12.683218053598704</v>
      </c>
      <c r="J80" s="37">
        <f t="shared" si="14"/>
        <v>-190.24827080398057</v>
      </c>
      <c r="K80" s="37">
        <f t="shared" si="15"/>
        <v>169.75172919601943</v>
      </c>
      <c r="L80" s="37">
        <f t="shared" si="16"/>
        <v>-0.17791384688321718</v>
      </c>
      <c r="M80" s="37">
        <f>TAN(RADIANS(C80))*COS(RADIANS('Data Entry-V'!$F$8))-SIN(RADIANS('Data Entry-V'!$F$8))*COS(RADIANS(K80))</f>
        <v>3.5474724313836276E-2</v>
      </c>
      <c r="N80" s="37">
        <f t="shared" si="17"/>
        <v>-78.723528235245993</v>
      </c>
      <c r="O80" s="147">
        <f t="shared" si="18"/>
        <v>281.27647176475398</v>
      </c>
      <c r="P80" s="149">
        <f>DEGREES(ASIN(COS(RADIANS(K80))*COS(RADIANS(C80))*COS(RADIANS('Data Entry-V'!$F$8))+SIN(RADIANS(C80))*SIN(RADIANS('Data Entry-V'!$F$8))))</f>
        <v>-79.554391299067305</v>
      </c>
      <c r="Q80" s="37">
        <f t="shared" si="12"/>
        <v>-1.0168518153531421</v>
      </c>
      <c r="R80" s="37" t="str">
        <f t="shared" si="13"/>
        <v/>
      </c>
      <c r="S80" s="90"/>
      <c r="T80" s="90"/>
      <c r="U80" s="90"/>
      <c r="V80" s="90"/>
    </row>
    <row r="81" spans="1:22" x14ac:dyDescent="0.2">
      <c r="A81" s="43" t="s">
        <v>115</v>
      </c>
      <c r="B81" s="46">
        <v>19.3445</v>
      </c>
      <c r="C81" s="46">
        <v>65.714799999999997</v>
      </c>
      <c r="D81" s="47">
        <v>4.59</v>
      </c>
      <c r="E81" s="47">
        <v>0.02</v>
      </c>
      <c r="F81" s="47">
        <v>0.06</v>
      </c>
      <c r="G81" s="37">
        <f t="shared" si="11"/>
        <v>2415019.5</v>
      </c>
      <c r="H81" s="37">
        <f>6.6925-'Data Entry-V'!$G$9+(24*((1.0027379093*(G81-2447892.5))-FLOOR(1.0027379093*(G81-2447892.5),1)))-(ROUNDDOWN(((6.6925-'Data Entry-V'!$G$9+(24*((1.0027379093*(G81-2447892.5))-FLOOR(1.0027379093*(G81-2447892.5),1))))/24),0)*24)</f>
        <v>6.6134819464012971</v>
      </c>
      <c r="I81" s="37">
        <f>H81-B81</f>
        <v>-12.731018053598703</v>
      </c>
      <c r="J81" s="37">
        <f t="shared" si="14"/>
        <v>-190.96527080398056</v>
      </c>
      <c r="K81" s="37">
        <f t="shared" si="15"/>
        <v>169.03472919601944</v>
      </c>
      <c r="L81" s="37">
        <f t="shared" si="16"/>
        <v>-0.19021395802114335</v>
      </c>
      <c r="M81" s="37">
        <f>TAN(RADIANS(C81))*COS(RADIANS('Data Entry-V'!$F$8))-SIN(RADIANS('Data Entry-V'!$F$8))*COS(RADIANS(K81))</f>
        <v>2.2162807195443515</v>
      </c>
      <c r="N81" s="37">
        <f t="shared" si="17"/>
        <v>-4.9054323266661584</v>
      </c>
      <c r="O81" s="147">
        <f t="shared" si="18"/>
        <v>355.09456767333381</v>
      </c>
      <c r="P81" s="149">
        <f>DEGREES(ASIN(COS(RADIANS(K81))*COS(RADIANS(C81))*COS(RADIANS('Data Entry-V'!$F$8))+SIN(RADIANS(C81))*SIN(RADIANS('Data Entry-V'!$F$8))))</f>
        <v>-23.81407585277837</v>
      </c>
      <c r="Q81" s="37">
        <f t="shared" si="12"/>
        <v>-2.4766571209450015</v>
      </c>
      <c r="R81" s="37" t="str">
        <f t="shared" si="13"/>
        <v/>
      </c>
      <c r="S81" s="90"/>
      <c r="T81" s="102"/>
      <c r="U81" s="90"/>
      <c r="V81" s="90"/>
    </row>
    <row r="82" spans="1:22" x14ac:dyDescent="0.2">
      <c r="A82" s="43" t="s">
        <v>44</v>
      </c>
      <c r="B82" s="46">
        <v>19.816299999999998</v>
      </c>
      <c r="C82" s="46">
        <v>19.142199999999999</v>
      </c>
      <c r="D82" s="47">
        <v>5</v>
      </c>
      <c r="E82" s="47">
        <v>0.1</v>
      </c>
      <c r="F82" s="47">
        <v>0.06</v>
      </c>
      <c r="G82" s="37">
        <f t="shared" si="11"/>
        <v>2415019.5</v>
      </c>
      <c r="H82" s="37">
        <f>6.6925-'Data Entry-V'!$G$9+(24*((1.0027379093*(G82-2447892.5))-FLOOR(1.0027379093*(G82-2447892.5),1)))-(ROUNDDOWN(((6.6925-'Data Entry-V'!$G$9+(24*((1.0027379093*(G82-2447892.5))-FLOOR(1.0027379093*(G82-2447892.5),1))))/24),0)*24)</f>
        <v>6.6134819464012971</v>
      </c>
      <c r="I82" s="37">
        <f>H82-B82</f>
        <v>-13.202818053598701</v>
      </c>
      <c r="J82" s="37">
        <f t="shared" si="14"/>
        <v>-198.04227080398053</v>
      </c>
      <c r="K82" s="37">
        <f t="shared" si="15"/>
        <v>161.95772919601947</v>
      </c>
      <c r="L82" s="37">
        <f t="shared" si="16"/>
        <v>-0.30971856614483889</v>
      </c>
      <c r="M82" s="37">
        <f>TAN(RADIANS(C82))*COS(RADIANS('Data Entry-V'!$F$8))-SIN(RADIANS('Data Entry-V'!$F$8))*COS(RADIANS(K82))</f>
        <v>0.3471061044560661</v>
      </c>
      <c r="N82" s="37">
        <f t="shared" si="17"/>
        <v>-41.742145716521023</v>
      </c>
      <c r="O82" s="147">
        <f t="shared" si="18"/>
        <v>318.25785428347899</v>
      </c>
      <c r="P82" s="149">
        <f>DEGREES(ASIN(COS(RADIANS(K82))*COS(RADIANS(C82))*COS(RADIANS('Data Entry-V'!$F$8))+SIN(RADIANS(C82))*SIN(RADIANS('Data Entry-V'!$F$8))))</f>
        <v>-63.929601314112887</v>
      </c>
      <c r="Q82" s="37">
        <f t="shared" si="12"/>
        <v>-1.1132699316958787</v>
      </c>
      <c r="R82" s="37" t="str">
        <f t="shared" si="13"/>
        <v/>
      </c>
      <c r="S82" s="90"/>
      <c r="T82" s="90"/>
      <c r="U82" s="90"/>
      <c r="V82" s="90"/>
    </row>
    <row r="83" spans="1:22" x14ac:dyDescent="0.2">
      <c r="A83" s="43" t="s">
        <v>116</v>
      </c>
      <c r="B83" s="46">
        <v>19.890999999999998</v>
      </c>
      <c r="C83" s="46">
        <v>24.079599999999999</v>
      </c>
      <c r="D83" s="47">
        <v>4.58</v>
      </c>
      <c r="E83" s="47">
        <v>-0.06</v>
      </c>
      <c r="F83" s="47">
        <v>-0.13</v>
      </c>
      <c r="G83" s="37">
        <f t="shared" si="11"/>
        <v>2415019.5</v>
      </c>
      <c r="H83" s="37">
        <f>6.6925-'Data Entry-V'!$G$9+(24*((1.0027379093*(G83-2447892.5))-FLOOR(1.0027379093*(G83-2447892.5),1)))-(ROUNDDOWN(((6.6925-'Data Entry-V'!$G$9+(24*((1.0027379093*(G83-2447892.5))-FLOOR(1.0027379093*(G83-2447892.5),1))))/24),0)*24)</f>
        <v>6.6134819464012971</v>
      </c>
      <c r="I83" s="37">
        <f>H83-B83</f>
        <v>-13.277518053598701</v>
      </c>
      <c r="J83" s="37">
        <f t="shared" si="14"/>
        <v>-199.16277080398052</v>
      </c>
      <c r="K83" s="37">
        <f t="shared" si="15"/>
        <v>160.83722919601948</v>
      </c>
      <c r="L83" s="37">
        <f t="shared" si="16"/>
        <v>-0.32825294798884586</v>
      </c>
      <c r="M83" s="37">
        <f>TAN(RADIANS(C83))*COS(RADIANS('Data Entry-V'!$F$8))-SIN(RADIANS('Data Entry-V'!$F$8))*COS(RADIANS(K83))</f>
        <v>0.44689439420402061</v>
      </c>
      <c r="N83" s="37">
        <f t="shared" si="17"/>
        <v>-36.298032976516481</v>
      </c>
      <c r="O83" s="147">
        <f t="shared" si="18"/>
        <v>323.70196702348352</v>
      </c>
      <c r="P83" s="149">
        <f>DEGREES(ASIN(COS(RADIANS(K83))*COS(RADIANS(C83))*COS(RADIANS('Data Entry-V'!$F$8))+SIN(RADIANS(C83))*SIN(RADIANS('Data Entry-V'!$F$8))))</f>
        <v>-59.586134153037641</v>
      </c>
      <c r="Q83" s="37">
        <f t="shared" si="12"/>
        <v>-1.1595665882903254</v>
      </c>
      <c r="R83" s="37" t="str">
        <f t="shared" si="13"/>
        <v/>
      </c>
      <c r="S83" s="90"/>
      <c r="T83" s="90"/>
      <c r="U83" s="90"/>
      <c r="V83" s="90"/>
    </row>
    <row r="84" spans="1:22" x14ac:dyDescent="0.2">
      <c r="A84" s="43" t="s">
        <v>117</v>
      </c>
      <c r="B84" s="46">
        <v>20.238</v>
      </c>
      <c r="C84" s="46">
        <v>15.197900000000001</v>
      </c>
      <c r="D84" s="47">
        <v>4.95</v>
      </c>
      <c r="E84" s="47">
        <v>0.09</v>
      </c>
      <c r="F84" s="47">
        <v>0.01</v>
      </c>
      <c r="G84" s="37">
        <f t="shared" si="11"/>
        <v>2415019.5</v>
      </c>
      <c r="H84" s="37">
        <f>6.6925-'Data Entry-V'!$G$9+(24*((1.0027379093*(G84-2447892.5))-FLOOR(1.0027379093*(G84-2447892.5),1)))-(ROUNDDOWN(((6.6925-'Data Entry-V'!$G$9+(24*((1.0027379093*(G84-2447892.5))-FLOOR(1.0027379093*(G84-2447892.5),1))))/24),0)*24)</f>
        <v>6.6134819464012971</v>
      </c>
      <c r="I84" s="37">
        <f>H84-B84</f>
        <v>-13.624518053598702</v>
      </c>
      <c r="J84" s="37">
        <f t="shared" si="14"/>
        <v>-204.36777080398053</v>
      </c>
      <c r="K84" s="37">
        <f t="shared" si="15"/>
        <v>155.63222919601947</v>
      </c>
      <c r="L84" s="37">
        <f t="shared" si="16"/>
        <v>-0.41259209984973866</v>
      </c>
      <c r="M84" s="37">
        <f>TAN(RADIANS(C84))*COS(RADIANS('Data Entry-V'!$F$8))-SIN(RADIANS('Data Entry-V'!$F$8))*COS(RADIANS(K84))</f>
        <v>0.27165462964782394</v>
      </c>
      <c r="N84" s="37">
        <f t="shared" si="17"/>
        <v>-56.638706261228933</v>
      </c>
      <c r="O84" s="147">
        <f t="shared" si="18"/>
        <v>303.36129373877105</v>
      </c>
      <c r="P84" s="149">
        <f>DEGREES(ASIN(COS(RADIANS(K84))*COS(RADIANS(C84))*COS(RADIANS('Data Entry-V'!$F$8))+SIN(RADIANS(C84))*SIN(RADIANS('Data Entry-V'!$F$8))))</f>
        <v>-61.528891880700343</v>
      </c>
      <c r="Q84" s="37">
        <f t="shared" si="12"/>
        <v>-1.137581867284738</v>
      </c>
      <c r="R84" s="37" t="str">
        <f t="shared" si="13"/>
        <v/>
      </c>
      <c r="S84" s="90"/>
      <c r="T84" s="90"/>
      <c r="U84" s="90"/>
      <c r="V84" s="90"/>
    </row>
    <row r="85" spans="1:22" x14ac:dyDescent="0.2">
      <c r="A85" s="43" t="s">
        <v>118</v>
      </c>
      <c r="B85" s="46">
        <v>20.221699999999998</v>
      </c>
      <c r="C85" s="46">
        <v>46.8157</v>
      </c>
      <c r="D85" s="47">
        <v>4.82</v>
      </c>
      <c r="E85" s="47">
        <v>0.1</v>
      </c>
      <c r="F85" s="47">
        <v>0.14000000000000001</v>
      </c>
      <c r="G85" s="37">
        <f t="shared" si="11"/>
        <v>2415019.5</v>
      </c>
      <c r="H85" s="37">
        <f>6.6925-'Data Entry-V'!$G$9+(24*((1.0027379093*(G85-2447892.5))-FLOOR(1.0027379093*(G85-2447892.5),1)))-(ROUNDDOWN(((6.6925-'Data Entry-V'!$G$9+(24*((1.0027379093*(G85-2447892.5))-FLOOR(1.0027379093*(G85-2447892.5),1))))/24),0)*24)</f>
        <v>6.6134819464012971</v>
      </c>
      <c r="I85" s="37">
        <f>H85-B85</f>
        <v>-13.608218053598701</v>
      </c>
      <c r="J85" s="37">
        <f t="shared" si="14"/>
        <v>-204.12327080398052</v>
      </c>
      <c r="K85" s="37">
        <f t="shared" si="15"/>
        <v>155.87672919601948</v>
      </c>
      <c r="L85" s="37">
        <f t="shared" si="16"/>
        <v>-0.40870117625499019</v>
      </c>
      <c r="M85" s="37">
        <f>TAN(RADIANS(C85))*COS(RADIANS('Data Entry-V'!$F$8))-SIN(RADIANS('Data Entry-V'!$F$8))*COS(RADIANS(K85))</f>
        <v>1.0654767611691418</v>
      </c>
      <c r="N85" s="37">
        <f t="shared" si="17"/>
        <v>-20.986077198504706</v>
      </c>
      <c r="O85" s="147">
        <f t="shared" si="18"/>
        <v>339.01392280149531</v>
      </c>
      <c r="P85" s="149">
        <f>DEGREES(ASIN(COS(RADIANS(K85))*COS(RADIANS(C85))*COS(RADIANS('Data Entry-V'!$F$8))+SIN(RADIANS(C85))*SIN(RADIANS('Data Entry-V'!$F$8))))</f>
        <v>-38.651520240301963</v>
      </c>
      <c r="Q85" s="37">
        <f t="shared" si="12"/>
        <v>-1.6010705759438324</v>
      </c>
      <c r="R85" s="37" t="str">
        <f t="shared" si="13"/>
        <v/>
      </c>
      <c r="S85" s="90"/>
      <c r="T85" s="90"/>
      <c r="U85" s="90"/>
      <c r="V85" s="90"/>
    </row>
    <row r="86" spans="1:22" x14ac:dyDescent="0.2">
      <c r="A86" s="43" t="s">
        <v>119</v>
      </c>
      <c r="B86" s="46">
        <v>20.241700000000002</v>
      </c>
      <c r="C86" s="46">
        <v>36.799999999999997</v>
      </c>
      <c r="D86" s="47">
        <v>4.99</v>
      </c>
      <c r="E86" s="47">
        <v>0.12</v>
      </c>
      <c r="F86" s="47">
        <v>0</v>
      </c>
      <c r="G86" s="37">
        <f t="shared" si="11"/>
        <v>2415019.5</v>
      </c>
      <c r="H86" s="37">
        <f>6.6925-'Data Entry-V'!$G$9+(24*((1.0027379093*(G86-2447892.5))-FLOOR(1.0027379093*(G86-2447892.5),1)))-(ROUNDDOWN(((6.6925-'Data Entry-V'!$G$9+(24*((1.0027379093*(G86-2447892.5))-FLOOR(1.0027379093*(G86-2447892.5),1))))/24),0)*24)</f>
        <v>6.6134819464012971</v>
      </c>
      <c r="I86" s="37">
        <f>H86-B86</f>
        <v>-13.628218053598705</v>
      </c>
      <c r="J86" s="37">
        <f t="shared" si="14"/>
        <v>-204.42327080398056</v>
      </c>
      <c r="K86" s="37">
        <f t="shared" si="15"/>
        <v>155.57672919601944</v>
      </c>
      <c r="L86" s="37">
        <f t="shared" si="16"/>
        <v>-0.41347427186754726</v>
      </c>
      <c r="M86" s="37">
        <f>TAN(RADIANS(C86))*COS(RADIANS('Data Entry-V'!$F$8))-SIN(RADIANS('Data Entry-V'!$F$8))*COS(RADIANS(K86))</f>
        <v>0.7480955789278525</v>
      </c>
      <c r="N86" s="37">
        <f t="shared" si="17"/>
        <v>-28.929537101608311</v>
      </c>
      <c r="O86" s="147">
        <f t="shared" si="18"/>
        <v>331.07046289839167</v>
      </c>
      <c r="P86" s="149">
        <f>DEGREES(ASIN(COS(RADIANS(K86))*COS(RADIANS(C86))*COS(RADIANS('Data Entry-V'!$F$8))+SIN(RADIANS(C86))*SIN(RADIANS('Data Entry-V'!$F$8))))</f>
        <v>-46.809202579311496</v>
      </c>
      <c r="Q86" s="37">
        <f t="shared" si="12"/>
        <v>-1.3715942911885641</v>
      </c>
      <c r="R86" s="37" t="str">
        <f t="shared" si="13"/>
        <v/>
      </c>
      <c r="S86" s="90"/>
      <c r="T86" s="90"/>
      <c r="U86" s="90"/>
      <c r="V86" s="90"/>
    </row>
    <row r="87" spans="1:22" x14ac:dyDescent="0.2">
      <c r="A87" s="43" t="s">
        <v>120</v>
      </c>
      <c r="B87" s="46">
        <v>20.223299999999998</v>
      </c>
      <c r="C87" s="46">
        <v>56.568199999999997</v>
      </c>
      <c r="D87" s="47">
        <v>4.3</v>
      </c>
      <c r="E87" s="47">
        <v>0.11</v>
      </c>
      <c r="F87" s="47">
        <v>0.08</v>
      </c>
      <c r="G87" s="37">
        <f t="shared" si="11"/>
        <v>2415019.5</v>
      </c>
      <c r="H87" s="37">
        <f>6.6925-'Data Entry-V'!$G$9+(24*((1.0027379093*(G87-2447892.5))-FLOOR(1.0027379093*(G87-2447892.5),1)))-(ROUNDDOWN(((6.6925-'Data Entry-V'!$G$9+(24*((1.0027379093*(G87-2447892.5))-FLOOR(1.0027379093*(G87-2447892.5),1))))/24),0)*24)</f>
        <v>6.6134819464012971</v>
      </c>
      <c r="I87" s="37">
        <f>H87-B87</f>
        <v>-13.609818053598701</v>
      </c>
      <c r="J87" s="37">
        <f t="shared" si="14"/>
        <v>-204.14727080398052</v>
      </c>
      <c r="K87" s="37">
        <f t="shared" si="15"/>
        <v>155.85272919601948</v>
      </c>
      <c r="L87" s="37">
        <f t="shared" si="16"/>
        <v>-0.40908343797431923</v>
      </c>
      <c r="M87" s="37">
        <f>TAN(RADIANS(C87))*COS(RADIANS('Data Entry-V'!$F$8))-SIN(RADIANS('Data Entry-V'!$F$8))*COS(RADIANS(K87))</f>
        <v>1.5147495888886569</v>
      </c>
      <c r="N87" s="37">
        <f t="shared" si="17"/>
        <v>-15.113137559090749</v>
      </c>
      <c r="O87" s="147">
        <f t="shared" si="18"/>
        <v>344.88686244090923</v>
      </c>
      <c r="P87" s="149">
        <f>DEGREES(ASIN(COS(RADIANS(K87))*COS(RADIANS(C87))*COS(RADIANS('Data Entry-V'!$F$8))+SIN(RADIANS(C87))*SIN(RADIANS('Data Entry-V'!$F$8))))</f>
        <v>-30.181094757381249</v>
      </c>
      <c r="Q87" s="37">
        <f t="shared" si="12"/>
        <v>-1.9891205281969988</v>
      </c>
      <c r="R87" s="37" t="str">
        <f t="shared" si="13"/>
        <v/>
      </c>
      <c r="S87" s="90"/>
      <c r="T87" s="90"/>
      <c r="U87" s="90"/>
      <c r="V87" s="90"/>
    </row>
    <row r="88" spans="1:22" x14ac:dyDescent="0.2">
      <c r="A88" s="43" t="s">
        <v>121</v>
      </c>
      <c r="B88" s="46">
        <v>20.564900000000002</v>
      </c>
      <c r="C88" s="46">
        <v>10.059799999999999</v>
      </c>
      <c r="D88" s="47">
        <v>6.56</v>
      </c>
      <c r="E88" s="47">
        <v>0.08</v>
      </c>
      <c r="F88" s="47">
        <v>0.05</v>
      </c>
      <c r="G88" s="37">
        <f t="shared" si="11"/>
        <v>2415019.5</v>
      </c>
      <c r="H88" s="37">
        <f>6.6925-'Data Entry-V'!$G$9+(24*((1.0027379093*(G88-2447892.5))-FLOOR(1.0027379093*(G88-2447892.5),1)))-(ROUNDDOWN(((6.6925-'Data Entry-V'!$G$9+(24*((1.0027379093*(G88-2447892.5))-FLOOR(1.0027379093*(G88-2447892.5),1))))/24),0)*24)</f>
        <v>6.6134819464012971</v>
      </c>
      <c r="I88" s="37">
        <f>H88-B88</f>
        <v>-13.951418053598704</v>
      </c>
      <c r="J88" s="37">
        <f t="shared" si="14"/>
        <v>-209.27127080398057</v>
      </c>
      <c r="K88" s="37">
        <f t="shared" si="15"/>
        <v>150.72872919601943</v>
      </c>
      <c r="L88" s="37">
        <f t="shared" si="16"/>
        <v>-0.4889451180900663</v>
      </c>
      <c r="M88" s="37">
        <f>TAN(RADIANS(C88))*COS(RADIANS('Data Entry-V'!$F$8))-SIN(RADIANS('Data Entry-V'!$F$8))*COS(RADIANS(K88))</f>
        <v>0.17740333618170331</v>
      </c>
      <c r="N88" s="37">
        <f t="shared" si="17"/>
        <v>-70.057773816733615</v>
      </c>
      <c r="O88" s="147">
        <f t="shared" si="18"/>
        <v>289.94222618326637</v>
      </c>
      <c r="P88" s="149">
        <f>DEGREES(ASIN(COS(RADIANS(K88))*COS(RADIANS(C88))*COS(RADIANS('Data Entry-V'!$F$8))+SIN(RADIANS(C88))*SIN(RADIANS('Data Entry-V'!$F$8))))</f>
        <v>-59.193697369551785</v>
      </c>
      <c r="Q88" s="37">
        <f t="shared" si="12"/>
        <v>-1.1642750587895769</v>
      </c>
      <c r="R88" s="37" t="str">
        <f t="shared" si="13"/>
        <v/>
      </c>
      <c r="S88" s="90"/>
      <c r="T88" s="90"/>
      <c r="U88" s="90"/>
      <c r="V88" s="90"/>
    </row>
    <row r="89" spans="1:22" x14ac:dyDescent="0.2">
      <c r="A89" s="43" t="s">
        <v>40</v>
      </c>
      <c r="B89" s="46">
        <v>20.5885</v>
      </c>
      <c r="C89" s="46">
        <v>14.809100000000001</v>
      </c>
      <c r="D89" s="47">
        <v>4.6900000000000004</v>
      </c>
      <c r="E89" s="47">
        <v>0.11</v>
      </c>
      <c r="F89" s="47">
        <v>0.11</v>
      </c>
      <c r="G89" s="37">
        <f t="shared" si="11"/>
        <v>2415019.5</v>
      </c>
      <c r="H89" s="37">
        <f>6.6925-'Data Entry-V'!$G$9+(24*((1.0027379093*(G89-2447892.5))-FLOOR(1.0027379093*(G89-2447892.5),1)))-(ROUNDDOWN(((6.6925-'Data Entry-V'!$G$9+(24*((1.0027379093*(G89-2447892.5))-FLOOR(1.0027379093*(G89-2447892.5),1))))/24),0)*24)</f>
        <v>6.6134819464012971</v>
      </c>
      <c r="I89" s="37">
        <f>H89-B89</f>
        <v>-13.975018053598703</v>
      </c>
      <c r="J89" s="37">
        <f t="shared" si="14"/>
        <v>-209.62527080398053</v>
      </c>
      <c r="K89" s="37">
        <f t="shared" si="15"/>
        <v>150.37472919601947</v>
      </c>
      <c r="L89" s="37">
        <f t="shared" si="16"/>
        <v>-0.4943253168607511</v>
      </c>
      <c r="M89" s="37">
        <f>TAN(RADIANS(C89))*COS(RADIANS('Data Entry-V'!$F$8))-SIN(RADIANS('Data Entry-V'!$F$8))*COS(RADIANS(K89))</f>
        <v>0.2643813160658291</v>
      </c>
      <c r="N89" s="37">
        <f t="shared" si="17"/>
        <v>-61.860674306481734</v>
      </c>
      <c r="O89" s="147">
        <f t="shared" si="18"/>
        <v>298.13932569351829</v>
      </c>
      <c r="P89" s="149">
        <f>DEGREES(ASIN(COS(RADIANS(K89))*COS(RADIANS(C89))*COS(RADIANS('Data Entry-V'!$F$8))+SIN(RADIANS(C89))*SIN(RADIANS('Data Entry-V'!$F$8))))</f>
        <v>-57.182598914966576</v>
      </c>
      <c r="Q89" s="37">
        <f t="shared" si="12"/>
        <v>-1.1899066719965952</v>
      </c>
      <c r="R89" s="37" t="str">
        <f t="shared" si="13"/>
        <v/>
      </c>
      <c r="S89" s="90"/>
      <c r="T89" s="90"/>
      <c r="U89" s="90"/>
      <c r="V89" s="90"/>
    </row>
    <row r="90" spans="1:22" x14ac:dyDescent="0.2">
      <c r="A90" s="43" t="s">
        <v>122</v>
      </c>
      <c r="B90" s="46">
        <v>20.642099999999999</v>
      </c>
      <c r="C90" s="46">
        <v>21.2012</v>
      </c>
      <c r="D90" s="47">
        <v>4.82</v>
      </c>
      <c r="E90" s="47">
        <v>-0.02</v>
      </c>
      <c r="F90" s="47">
        <v>-7.0000000000000007E-2</v>
      </c>
      <c r="G90" s="37">
        <f t="shared" si="11"/>
        <v>2415019.5</v>
      </c>
      <c r="H90" s="37">
        <f>6.6925-'Data Entry-V'!$G$9+(24*((1.0027379093*(G90-2447892.5))-FLOOR(1.0027379093*(G90-2447892.5),1)))-(ROUNDDOWN(((6.6925-'Data Entry-V'!$G$9+(24*((1.0027379093*(G90-2447892.5))-FLOOR(1.0027379093*(G90-2447892.5),1))))/24),0)*24)</f>
        <v>6.6134819464012971</v>
      </c>
      <c r="I90" s="37">
        <f>H90-B90</f>
        <v>-14.028618053598702</v>
      </c>
      <c r="J90" s="37">
        <f t="shared" si="14"/>
        <v>-210.42927080398053</v>
      </c>
      <c r="K90" s="37">
        <f t="shared" si="15"/>
        <v>149.57072919601947</v>
      </c>
      <c r="L90" s="37">
        <f t="shared" si="16"/>
        <v>-0.50647433206765347</v>
      </c>
      <c r="M90" s="37">
        <f>TAN(RADIANS(C90))*COS(RADIANS('Data Entry-V'!$F$8))-SIN(RADIANS('Data Entry-V'!$F$8))*COS(RADIANS(K90))</f>
        <v>0.38789853271886887</v>
      </c>
      <c r="N90" s="37">
        <f t="shared" si="17"/>
        <v>-52.55222054352344</v>
      </c>
      <c r="O90" s="147">
        <f t="shared" si="18"/>
        <v>307.44777945647655</v>
      </c>
      <c r="P90" s="149">
        <f>DEGREES(ASIN(COS(RADIANS(K90))*COS(RADIANS(C90))*COS(RADIANS('Data Entry-V'!$F$8))+SIN(RADIANS(C90))*SIN(RADIANS('Data Entry-V'!$F$8))))</f>
        <v>-53.50361264352825</v>
      </c>
      <c r="Q90" s="37">
        <f t="shared" si="12"/>
        <v>-1.2439445338352277</v>
      </c>
      <c r="R90" s="37" t="str">
        <f t="shared" si="13"/>
        <v/>
      </c>
      <c r="S90" s="90"/>
      <c r="T90" s="90"/>
      <c r="U90" s="90"/>
      <c r="V90" s="90"/>
    </row>
    <row r="91" spans="1:22" x14ac:dyDescent="0.2">
      <c r="A91" s="43" t="s">
        <v>123</v>
      </c>
      <c r="B91" s="46">
        <v>21.1754</v>
      </c>
      <c r="C91" s="46">
        <v>10.048999999999999</v>
      </c>
      <c r="D91" s="47">
        <v>6.07</v>
      </c>
      <c r="E91" s="47">
        <v>0.02</v>
      </c>
      <c r="F91" s="47">
        <v>0.04</v>
      </c>
      <c r="G91" s="37">
        <f t="shared" si="11"/>
        <v>2415019.5</v>
      </c>
      <c r="H91" s="37">
        <f>6.6925-'Data Entry-V'!$G$9+(24*((1.0027379093*(G91-2447892.5))-FLOOR(1.0027379093*(G91-2447892.5),1)))-(ROUNDDOWN(((6.6925-'Data Entry-V'!$G$9+(24*((1.0027379093*(G91-2447892.5))-FLOOR(1.0027379093*(G91-2447892.5),1))))/24),0)*24)</f>
        <v>6.6134819464012971</v>
      </c>
      <c r="I91" s="37">
        <f>H91-B91</f>
        <v>-14.561918053598703</v>
      </c>
      <c r="J91" s="37">
        <f t="shared" si="14"/>
        <v>-218.42877080398054</v>
      </c>
      <c r="K91" s="37">
        <f t="shared" si="15"/>
        <v>141.57122919601946</v>
      </c>
      <c r="L91" s="37">
        <f t="shared" si="16"/>
        <v>-0.6215412299038594</v>
      </c>
      <c r="M91" s="37">
        <f>TAN(RADIANS(C91))*COS(RADIANS('Data Entry-V'!$F$8))-SIN(RADIANS('Data Entry-V'!$F$8))*COS(RADIANS(K91))</f>
        <v>0.17720891479996081</v>
      </c>
      <c r="N91" s="37">
        <f t="shared" si="17"/>
        <v>-74.086508787901693</v>
      </c>
      <c r="O91" s="147">
        <f t="shared" si="18"/>
        <v>285.91349121209828</v>
      </c>
      <c r="P91" s="149">
        <f>DEGREES(ASIN(COS(RADIANS(K91))*COS(RADIANS(C91))*COS(RADIANS('Data Entry-V'!$F$8))+SIN(RADIANS(C91))*SIN(RADIANS('Data Entry-V'!$F$8))))</f>
        <v>-50.476489128333931</v>
      </c>
      <c r="Q91" s="37">
        <f t="shared" si="12"/>
        <v>-1.2964056358146319</v>
      </c>
      <c r="R91" s="37" t="str">
        <f t="shared" si="13"/>
        <v/>
      </c>
      <c r="S91" s="90"/>
      <c r="T91" s="90"/>
      <c r="U91" s="90"/>
      <c r="V91" s="90"/>
    </row>
    <row r="92" spans="1:22" x14ac:dyDescent="0.2">
      <c r="A92" s="43" t="s">
        <v>45</v>
      </c>
      <c r="B92" s="46">
        <v>21.628799999999998</v>
      </c>
      <c r="C92" s="46">
        <v>6.6184000000000003</v>
      </c>
      <c r="D92" s="47">
        <v>6.2</v>
      </c>
      <c r="E92" s="47">
        <v>0.02</v>
      </c>
      <c r="F92" s="47">
        <v>0.01</v>
      </c>
      <c r="G92" s="37">
        <f t="shared" si="11"/>
        <v>2415019.5</v>
      </c>
      <c r="H92" s="37">
        <f>6.6925-'Data Entry-V'!$G$9+(24*((1.0027379093*(G92-2447892.5))-FLOOR(1.0027379093*(G92-2447892.5),1)))-(ROUNDDOWN(((6.6925-'Data Entry-V'!$G$9+(24*((1.0027379093*(G92-2447892.5))-FLOOR(1.0027379093*(G92-2447892.5),1))))/24),0)*24)</f>
        <v>6.6134819464012971</v>
      </c>
      <c r="I92" s="37">
        <f>H92-B92</f>
        <v>-15.015318053598701</v>
      </c>
      <c r="J92" s="37">
        <f t="shared" si="14"/>
        <v>-225.22977080398053</v>
      </c>
      <c r="K92" s="37">
        <f t="shared" si="15"/>
        <v>134.77022919601947</v>
      </c>
      <c r="L92" s="37">
        <f t="shared" si="16"/>
        <v>-0.70993676764823099</v>
      </c>
      <c r="M92" s="37">
        <f>TAN(RADIANS(C92))*COS(RADIANS('Data Entry-V'!$F$8))-SIN(RADIANS('Data Entry-V'!$F$8))*COS(RADIANS(K92))</f>
        <v>0.11602939960007567</v>
      </c>
      <c r="N92" s="37">
        <f t="shared" si="17"/>
        <v>-80.717858685853116</v>
      </c>
      <c r="O92" s="147">
        <f t="shared" si="18"/>
        <v>279.28214131414688</v>
      </c>
      <c r="P92" s="149">
        <f>DEGREES(ASIN(COS(RADIANS(K92))*COS(RADIANS(C92))*COS(RADIANS('Data Entry-V'!$F$8))+SIN(RADIANS(C92))*SIN(RADIANS('Data Entry-V'!$F$8))))</f>
        <v>-44.392680365828362</v>
      </c>
      <c r="Q92" s="37">
        <f t="shared" si="12"/>
        <v>-1.4294453103783411</v>
      </c>
      <c r="R92" s="37" t="str">
        <f t="shared" si="13"/>
        <v/>
      </c>
      <c r="S92" s="90"/>
      <c r="T92" s="90"/>
      <c r="U92" s="90"/>
      <c r="V92" s="90"/>
    </row>
    <row r="93" spans="1:22" x14ac:dyDescent="0.2">
      <c r="A93" s="43" t="s">
        <v>47</v>
      </c>
      <c r="B93" s="46">
        <v>21.787199999999999</v>
      </c>
      <c r="C93" s="46">
        <v>2.6861000000000002</v>
      </c>
      <c r="D93" s="47">
        <v>5.64</v>
      </c>
      <c r="E93" s="47">
        <v>0</v>
      </c>
      <c r="F93" s="47">
        <v>-0.01</v>
      </c>
      <c r="G93" s="37">
        <f t="shared" si="11"/>
        <v>2415019.5</v>
      </c>
      <c r="H93" s="37">
        <f>6.6925-'Data Entry-V'!$G$9+(24*((1.0027379093*(G93-2447892.5))-FLOOR(1.0027379093*(G93-2447892.5),1)))-(ROUNDDOWN(((6.6925-'Data Entry-V'!$G$9+(24*((1.0027379093*(G93-2447892.5))-FLOOR(1.0027379093*(G93-2447892.5),1))))/24),0)*24)</f>
        <v>6.6134819464012971</v>
      </c>
      <c r="I93" s="37">
        <f>H93-B93</f>
        <v>-15.173718053598702</v>
      </c>
      <c r="J93" s="37">
        <f t="shared" si="14"/>
        <v>-227.60577080398053</v>
      </c>
      <c r="K93" s="37">
        <f t="shared" si="15"/>
        <v>132.39422919601947</v>
      </c>
      <c r="L93" s="37">
        <f t="shared" si="16"/>
        <v>-0.73852325229968685</v>
      </c>
      <c r="M93" s="37">
        <f>TAN(RADIANS(C93))*COS(RADIANS('Data Entry-V'!$F$8))-SIN(RADIANS('Data Entry-V'!$F$8))*COS(RADIANS(K93))</f>
        <v>4.6915665355735832E-2</v>
      </c>
      <c r="N93" s="37">
        <f t="shared" si="17"/>
        <v>-86.365094322235379</v>
      </c>
      <c r="O93" s="147">
        <f t="shared" si="18"/>
        <v>273.63490567776461</v>
      </c>
      <c r="P93" s="149">
        <f>DEGREES(ASIN(COS(RADIANS(K93))*COS(RADIANS(C93))*COS(RADIANS('Data Entry-V'!$F$8))+SIN(RADIANS(C93))*SIN(RADIANS('Data Entry-V'!$F$8))))</f>
        <v>-42.336783677457554</v>
      </c>
      <c r="Q93" s="37">
        <f t="shared" si="12"/>
        <v>-1.4848091803914154</v>
      </c>
      <c r="R93" s="37" t="str">
        <f t="shared" si="13"/>
        <v/>
      </c>
      <c r="S93" s="90"/>
      <c r="T93" s="90"/>
      <c r="U93" s="90"/>
      <c r="V93" s="90"/>
    </row>
    <row r="94" spans="1:22" x14ac:dyDescent="0.2">
      <c r="A94" s="43" t="s">
        <v>124</v>
      </c>
      <c r="B94" s="46">
        <v>22.2666</v>
      </c>
      <c r="C94" s="46">
        <v>8.5495999999999999</v>
      </c>
      <c r="D94" s="47">
        <v>6.2</v>
      </c>
      <c r="E94" s="47">
        <v>0.02</v>
      </c>
      <c r="F94" s="47">
        <v>-0.04</v>
      </c>
      <c r="G94" s="37">
        <f t="shared" si="11"/>
        <v>2415019.5</v>
      </c>
      <c r="H94" s="37">
        <f>6.6925-'Data Entry-V'!$G$9+(24*((1.0027379093*(G94-2447892.5))-FLOOR(1.0027379093*(G94-2447892.5),1)))-(ROUNDDOWN(((6.6925-'Data Entry-V'!$G$9+(24*((1.0027379093*(G94-2447892.5))-FLOOR(1.0027379093*(G94-2447892.5),1))))/24),0)*24)</f>
        <v>6.6134819464012971</v>
      </c>
      <c r="I94" s="37">
        <f>H94-B94</f>
        <v>-15.653118053598703</v>
      </c>
      <c r="J94" s="37">
        <f t="shared" si="14"/>
        <v>-234.79677080398056</v>
      </c>
      <c r="K94" s="37">
        <f t="shared" si="15"/>
        <v>125.20322919601944</v>
      </c>
      <c r="L94" s="37">
        <f t="shared" si="16"/>
        <v>-0.81711240925277417</v>
      </c>
      <c r="M94" s="37">
        <f>TAN(RADIANS(C94))*COS(RADIANS('Data Entry-V'!$F$8))-SIN(RADIANS('Data Entry-V'!$F$8))*COS(RADIANS(K94))</f>
        <v>0.15033613495304415</v>
      </c>
      <c r="N94" s="37">
        <f t="shared" si="17"/>
        <v>-79.575042550550549</v>
      </c>
      <c r="O94" s="147">
        <f t="shared" si="18"/>
        <v>280.42495744944944</v>
      </c>
      <c r="P94" s="149">
        <f>DEGREES(ASIN(COS(RADIANS(K94))*COS(RADIANS(C94))*COS(RADIANS('Data Entry-V'!$F$8))+SIN(RADIANS(C94))*SIN(RADIANS('Data Entry-V'!$F$8))))</f>
        <v>-34.755265853643905</v>
      </c>
      <c r="Q94" s="37">
        <f t="shared" si="12"/>
        <v>-1.7541635404527827</v>
      </c>
      <c r="R94" s="37" t="str">
        <f t="shared" si="13"/>
        <v/>
      </c>
      <c r="S94" s="90"/>
      <c r="T94" s="90"/>
      <c r="U94" s="90"/>
      <c r="V94" s="90"/>
    </row>
    <row r="95" spans="1:22" x14ac:dyDescent="0.2">
      <c r="A95" s="43" t="s">
        <v>41</v>
      </c>
      <c r="B95" s="46">
        <v>22.696000000000002</v>
      </c>
      <c r="C95" s="46">
        <v>29.307500000000001</v>
      </c>
      <c r="D95" s="47">
        <v>4.79</v>
      </c>
      <c r="E95" s="47">
        <v>-0.01</v>
      </c>
      <c r="F95" s="47">
        <v>0</v>
      </c>
      <c r="G95" s="37">
        <f t="shared" si="11"/>
        <v>2415019.5</v>
      </c>
      <c r="H95" s="37">
        <f>6.6925-'Data Entry-V'!$G$9+(24*((1.0027379093*(G95-2447892.5))-FLOOR(1.0027379093*(G95-2447892.5),1)))-(ROUNDDOWN(((6.6925-'Data Entry-V'!$G$9+(24*((1.0027379093*(G95-2447892.5))-FLOOR(1.0027379093*(G95-2447892.5),1))))/24),0)*24)</f>
        <v>6.6134819464012971</v>
      </c>
      <c r="I95" s="37">
        <f>H95-B95</f>
        <v>-16.082518053598704</v>
      </c>
      <c r="J95" s="37">
        <f t="shared" si="14"/>
        <v>-241.23777080398057</v>
      </c>
      <c r="K95" s="37">
        <f t="shared" si="15"/>
        <v>118.76222919601943</v>
      </c>
      <c r="L95" s="37">
        <f t="shared" si="16"/>
        <v>-0.87662407362240313</v>
      </c>
      <c r="M95" s="37">
        <f>TAN(RADIANS(C95))*COS(RADIANS('Data Entry-V'!$F$8))-SIN(RADIANS('Data Entry-V'!$F$8))*COS(RADIANS(K95))</f>
        <v>0.56134596259193881</v>
      </c>
      <c r="N95" s="37">
        <f t="shared" si="17"/>
        <v>-57.36654498554028</v>
      </c>
      <c r="O95" s="147">
        <f t="shared" si="18"/>
        <v>302.63345501445974</v>
      </c>
      <c r="P95" s="149">
        <f>DEGREES(ASIN(COS(RADIANS(K95))*COS(RADIANS(C95))*COS(RADIANS('Data Entry-V'!$F$8))+SIN(RADIANS(C95))*SIN(RADIANS('Data Entry-V'!$F$8))))</f>
        <v>-24.808571200949487</v>
      </c>
      <c r="Q95" s="37">
        <f t="shared" si="12"/>
        <v>-2.383290971945454</v>
      </c>
      <c r="R95" s="37" t="str">
        <f t="shared" si="13"/>
        <v/>
      </c>
      <c r="S95" s="90"/>
      <c r="T95" s="90"/>
      <c r="U95" s="90"/>
      <c r="V95" s="90"/>
    </row>
    <row r="96" spans="1:22" x14ac:dyDescent="0.2">
      <c r="A96" s="43" t="s">
        <v>42</v>
      </c>
      <c r="B96" s="46">
        <v>22.920500000000001</v>
      </c>
      <c r="C96" s="46">
        <v>8.8163</v>
      </c>
      <c r="D96" s="47">
        <v>4.91</v>
      </c>
      <c r="E96" s="47">
        <v>0</v>
      </c>
      <c r="F96" s="47">
        <v>-0.01</v>
      </c>
      <c r="G96" s="37">
        <f t="shared" si="11"/>
        <v>2415019.5</v>
      </c>
      <c r="H96" s="37">
        <f>6.6925-'Data Entry-V'!$G$9+(24*((1.0027379093*(G96-2447892.5))-FLOOR(1.0027379093*(G96-2447892.5),1)))-(ROUNDDOWN(((6.6925-'Data Entry-V'!$G$9+(24*((1.0027379093*(G96-2447892.5))-FLOOR(1.0027379093*(G96-2447892.5),1))))/24),0)*24)</f>
        <v>6.6134819464012971</v>
      </c>
      <c r="I96" s="37">
        <f>H96-B96</f>
        <v>-16.307018053598703</v>
      </c>
      <c r="J96" s="37">
        <f t="shared" si="14"/>
        <v>-244.60527080398055</v>
      </c>
      <c r="K96" s="37">
        <f t="shared" si="15"/>
        <v>115.39472919601945</v>
      </c>
      <c r="L96" s="37">
        <f t="shared" si="16"/>
        <v>-0.90337474802075834</v>
      </c>
      <c r="M96" s="37">
        <f>TAN(RADIANS(C96))*COS(RADIANS('Data Entry-V'!$F$8))-SIN(RADIANS('Data Entry-V'!$F$8))*COS(RADIANS(K96))</f>
        <v>0.15509949855729724</v>
      </c>
      <c r="N96" s="37">
        <f t="shared" si="17"/>
        <v>-80.257927135928071</v>
      </c>
      <c r="O96" s="147">
        <f t="shared" si="18"/>
        <v>279.74207286407193</v>
      </c>
      <c r="P96" s="149">
        <f>DEGREES(ASIN(COS(RADIANS(K96))*COS(RADIANS(C96))*COS(RADIANS('Data Entry-V'!$F$8))+SIN(RADIANS(C96))*SIN(RADIANS('Data Entry-V'!$F$8))))</f>
        <v>-25.073786297718001</v>
      </c>
      <c r="Q96" s="37">
        <f t="shared" si="12"/>
        <v>-2.3596867342123637</v>
      </c>
      <c r="R96" s="37" t="str">
        <f t="shared" si="13"/>
        <v/>
      </c>
      <c r="S96" s="90"/>
      <c r="T96" s="90"/>
      <c r="U96" s="90"/>
      <c r="V96" s="90"/>
    </row>
    <row r="97" spans="1:22" x14ac:dyDescent="0.2">
      <c r="A97" s="43" t="s">
        <v>125</v>
      </c>
      <c r="B97" s="46">
        <v>22.9785</v>
      </c>
      <c r="C97" s="46">
        <v>7.3400999999999996</v>
      </c>
      <c r="D97" s="47">
        <v>6.33</v>
      </c>
      <c r="E97" s="47">
        <v>0.06</v>
      </c>
      <c r="F97" s="47">
        <v>0.01</v>
      </c>
      <c r="G97" s="37">
        <f t="shared" si="11"/>
        <v>2415019.5</v>
      </c>
      <c r="H97" s="37">
        <f>6.6925-'Data Entry-V'!$G$9+(24*((1.0027379093*(G97-2447892.5))-FLOOR(1.0027379093*(G97-2447892.5),1)))-(ROUNDDOWN(((6.6925-'Data Entry-V'!$G$9+(24*((1.0027379093*(G97-2447892.5))-FLOOR(1.0027379093*(G97-2447892.5),1))))/24),0)*24)</f>
        <v>6.6134819464012971</v>
      </c>
      <c r="I97" s="37">
        <f>H97-B97</f>
        <v>-16.365018053598703</v>
      </c>
      <c r="J97" s="37">
        <f t="shared" si="14"/>
        <v>-245.47527080398055</v>
      </c>
      <c r="K97" s="37">
        <f t="shared" si="15"/>
        <v>114.52472919601945</v>
      </c>
      <c r="L97" s="37">
        <f t="shared" si="16"/>
        <v>-0.909782202079784</v>
      </c>
      <c r="M97" s="37">
        <f>TAN(RADIANS(C97))*COS(RADIANS('Data Entry-V'!$F$8))-SIN(RADIANS('Data Entry-V'!$F$8))*COS(RADIANS(K97))</f>
        <v>0.12881438062198969</v>
      </c>
      <c r="N97" s="37">
        <f t="shared" si="17"/>
        <v>-81.941163939863955</v>
      </c>
      <c r="O97" s="147">
        <f t="shared" si="18"/>
        <v>278.05883606013606</v>
      </c>
      <c r="P97" s="149">
        <f>DEGREES(ASIN(COS(RADIANS(K97))*COS(RADIANS(C97))*COS(RADIANS('Data Entry-V'!$F$8))+SIN(RADIANS(C97))*SIN(RADIANS('Data Entry-V'!$F$8))))</f>
        <v>-24.31069215479587</v>
      </c>
      <c r="Q97" s="37">
        <f t="shared" si="12"/>
        <v>-2.4290449764128135</v>
      </c>
      <c r="R97" s="37" t="str">
        <f t="shared" si="13"/>
        <v/>
      </c>
      <c r="S97" s="90"/>
      <c r="T97" s="90"/>
      <c r="U97" s="90"/>
      <c r="V97" s="90"/>
    </row>
    <row r="98" spans="1:22" x14ac:dyDescent="0.2">
      <c r="A98" s="43" t="s">
        <v>126</v>
      </c>
      <c r="B98" s="46">
        <v>23.884699999999999</v>
      </c>
      <c r="C98" s="46">
        <v>2.0905999999999998</v>
      </c>
      <c r="D98" s="47">
        <v>6.28</v>
      </c>
      <c r="E98" s="47">
        <v>0</v>
      </c>
      <c r="F98" s="47">
        <v>-0.01</v>
      </c>
      <c r="G98" s="37">
        <f t="shared" si="11"/>
        <v>2415019.5</v>
      </c>
      <c r="H98" s="37">
        <f>6.6925-'Data Entry-V'!$G$9+(24*((1.0027379093*(G98-2447892.5))-FLOOR(1.0027379093*(G98-2447892.5),1)))-(ROUNDDOWN(((6.6925-'Data Entry-V'!$G$9+(24*((1.0027379093*(G98-2447892.5))-FLOOR(1.0027379093*(G98-2447892.5),1))))/24),0)*24)</f>
        <v>6.6134819464012971</v>
      </c>
      <c r="I98" s="37">
        <f>H98-B98</f>
        <v>-17.271218053598702</v>
      </c>
      <c r="J98" s="37">
        <f t="shared" si="14"/>
        <v>-259.06827080398051</v>
      </c>
      <c r="K98" s="37">
        <f t="shared" si="15"/>
        <v>100.93172919601949</v>
      </c>
      <c r="L98" s="37">
        <f t="shared" ref="L98" si="19">-SIN(RADIANS(K98))</f>
        <v>-0.98185384505872086</v>
      </c>
      <c r="M98" s="37">
        <f>TAN(RADIANS(C98))*COS(RADIANS('Data Entry-V'!$F$8))-SIN(RADIANS('Data Entry-V'!$F$8))*COS(RADIANS(K98))</f>
        <v>3.6504054834944677E-2</v>
      </c>
      <c r="N98" s="37">
        <f t="shared" ref="N98" si="20">DEGREES(ATAN2(M98,L98))</f>
        <v>-87.870797766707128</v>
      </c>
      <c r="O98" s="147">
        <f t="shared" si="18"/>
        <v>272.12920223329286</v>
      </c>
      <c r="P98" s="149">
        <f>DEGREES(ASIN(COS(RADIANS(K98))*COS(RADIANS(C98))*COS(RADIANS('Data Entry-V'!$F$8))+SIN(RADIANS(C98))*SIN(RADIANS('Data Entry-V'!$F$8))))</f>
        <v>-10.924363446207975</v>
      </c>
      <c r="Q98" s="37">
        <f t="shared" ref="Q98" si="21">1/(COS(2*ATAN(1)-(P98*(ATAN(1)/45))))</f>
        <v>-5.2766835154864049</v>
      </c>
      <c r="R98" s="37" t="str">
        <f t="shared" ref="R98" si="22">IF(P98&gt;10,Q98-((Q98-1)*(0.0018161+(Q98-1)*(0.002875+(Q98-1)*0.0008083))),"")</f>
        <v/>
      </c>
      <c r="S98" s="90"/>
      <c r="T98" s="90"/>
      <c r="U98" s="90"/>
      <c r="V98" s="90"/>
    </row>
    <row r="99" spans="1:22" s="152" customFormat="1" x14ac:dyDescent="0.2">
      <c r="A99" s="49" t="s">
        <v>50</v>
      </c>
      <c r="B99" s="50"/>
      <c r="C99" s="50"/>
      <c r="D99" s="51"/>
      <c r="E99" s="51"/>
      <c r="F99" s="51"/>
      <c r="G99" s="50"/>
      <c r="H99" s="50"/>
      <c r="I99" s="50"/>
      <c r="J99" s="50"/>
      <c r="K99" s="50"/>
      <c r="L99" s="50"/>
      <c r="M99" s="50"/>
      <c r="N99" s="50"/>
      <c r="O99" s="148"/>
      <c r="P99" s="148"/>
      <c r="Q99" s="50"/>
      <c r="R99" s="50"/>
      <c r="S99" s="91"/>
      <c r="T99" s="91"/>
      <c r="U99" s="91"/>
      <c r="V99" s="91"/>
    </row>
    <row r="100" spans="1:22" s="153" customFormat="1" x14ac:dyDescent="0.2">
      <c r="A100" s="145" t="s">
        <v>146</v>
      </c>
      <c r="B100" s="144"/>
      <c r="C100" s="144"/>
      <c r="D100" s="144"/>
      <c r="E100" s="144"/>
      <c r="F100" s="144"/>
      <c r="G100" s="144"/>
      <c r="H100" s="144"/>
      <c r="I100" s="144"/>
      <c r="J100" s="144"/>
      <c r="K100" s="144"/>
      <c r="L100" s="144"/>
      <c r="M100" s="144"/>
      <c r="N100" s="144"/>
      <c r="O100" s="150"/>
      <c r="P100" s="150"/>
      <c r="Q100" s="144"/>
      <c r="R100" s="144"/>
      <c r="S100" s="144"/>
      <c r="T100" s="144"/>
      <c r="U100" s="90"/>
      <c r="V100" s="90"/>
    </row>
    <row r="101" spans="1:22" s="153" customFormat="1" x14ac:dyDescent="0.2">
      <c r="A101" s="145" t="s">
        <v>145</v>
      </c>
      <c r="B101" s="144"/>
      <c r="C101" s="144"/>
      <c r="D101" s="144"/>
      <c r="E101" s="144"/>
      <c r="F101" s="144"/>
      <c r="G101" s="144"/>
      <c r="H101" s="144"/>
      <c r="I101" s="144"/>
      <c r="J101" s="144"/>
      <c r="K101" s="144"/>
      <c r="L101" s="144"/>
      <c r="M101" s="144"/>
      <c r="N101" s="144"/>
      <c r="O101" s="150"/>
      <c r="P101" s="150"/>
      <c r="Q101" s="144"/>
      <c r="R101" s="144"/>
      <c r="S101" s="144"/>
      <c r="T101" s="144"/>
      <c r="U101" s="90"/>
      <c r="V101" s="90"/>
    </row>
    <row r="102" spans="1:22" s="153" customFormat="1" x14ac:dyDescent="0.2">
      <c r="A102" s="144"/>
      <c r="B102" s="144"/>
      <c r="C102" s="144"/>
      <c r="D102" s="144"/>
      <c r="E102" s="144"/>
      <c r="F102" s="144"/>
      <c r="G102" s="144"/>
      <c r="H102" s="144"/>
      <c r="I102" s="144"/>
      <c r="J102" s="144"/>
      <c r="K102" s="144"/>
      <c r="L102" s="144"/>
      <c r="M102" s="144"/>
      <c r="N102" s="144"/>
      <c r="O102" s="150"/>
      <c r="P102" s="150"/>
      <c r="Q102" s="144"/>
      <c r="R102" s="144"/>
      <c r="S102" s="144"/>
      <c r="T102" s="144"/>
      <c r="U102" s="90"/>
      <c r="V102" s="90"/>
    </row>
  </sheetData>
  <sheetProtection sheet="1" selectLockedCells="1"/>
  <conditionalFormatting sqref="R2:R98">
    <cfRule type="cellIs" dxfId="3" priority="5" operator="lessThan">
      <formula>1</formula>
    </cfRule>
    <cfRule type="cellIs" dxfId="2" priority="6" operator="greaterThan">
      <formula>2.5</formula>
    </cfRule>
    <cfRule type="cellIs" dxfId="1" priority="7" operator="between">
      <formula>2</formula>
      <formula>2.5</formula>
    </cfRule>
    <cfRule type="cellIs" dxfId="0" priority="8" operator="between">
      <formula>1</formula>
      <formula>2</formula>
    </cfRule>
  </conditionalFormatting>
  <hyperlinks>
    <hyperlink ref="A101" r:id="rId1" xr:uid="{9DC3B67F-72AD-BF43-A3E0-AB064BA11050}"/>
    <hyperlink ref="A100" r:id="rId2" xr:uid="{F52FFA15-E5C6-B841-94F0-CC591DA01BC2}"/>
  </hyperlinks>
  <pageMargins left="0.7" right="0.7" top="0.75" bottom="0.75" header="0.5" footer="0.5"/>
  <pageSetup paperSize="9"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6"/>
  <sheetViews>
    <sheetView zoomScale="150" zoomScaleNormal="150" zoomScalePageLayoutView="150" workbookViewId="0">
      <selection activeCell="A7" sqref="A7"/>
    </sheetView>
  </sheetViews>
  <sheetFormatPr baseColWidth="10" defaultRowHeight="13" x14ac:dyDescent="0.15"/>
  <cols>
    <col min="1" max="1" width="15.6640625" customWidth="1"/>
  </cols>
  <sheetData>
    <row r="1" spans="1:4" ht="14" x14ac:dyDescent="0.15">
      <c r="A1" s="29" t="s">
        <v>17</v>
      </c>
      <c r="B1" s="29" t="s">
        <v>18</v>
      </c>
      <c r="C1" s="29" t="s">
        <v>19</v>
      </c>
      <c r="D1" s="29" t="s">
        <v>20</v>
      </c>
    </row>
    <row r="2" spans="1:4" x14ac:dyDescent="0.15">
      <c r="A2" s="28">
        <f>IF('Data Entry-V'!F16&gt;0.5,('Data Entry-V'!E16+2415019)+((((HOUR('Data Entry-V'!F16)*60)+MINUTE('Data Entry-V'!F16))/1440+SECOND('Data Entry-V'!F16)/86400+DAY('Data Entry-V'!E16))-0.5)-DAY('Data Entry-V'!E16),('Data Entry-V'!E16+2415019)+((((HOUR('Data Entry-V'!F16)*60)+MINUTE('Data Entry-V'!F16))/1440+SECOND('Data Entry-V'!F16)/86400+DAY('Data Entry-V'!E16))-1.5)-DAY('Data Entry-V'!E16)+1)</f>
        <v>2415018.5</v>
      </c>
      <c r="B2" s="28">
        <f>6.6925-'Data Entry-V'!$G$9+(24*((1.0027379093*(A2-2447892.5))-FLOOR(1.0027379093*(A2-2447892.5),1)))-(ROUNDDOWN(((6.6925-'Data Entry-V'!$G$9+(24*((1.0027379093*(A2-2447892.5))-FLOOR(1.0027379093*(A2-2447892.5),1))))/24),0)*24)</f>
        <v>6.5477721231826571</v>
      </c>
      <c r="C2" s="28" t="e">
        <f>DEGREES(ASIN((SIN(RADIANS('Data Entry-V'!$F$8))*SIN(RADIANS('Data Entry-V'!C16)))+(COS(RADIANS('Data Entry-V'!$F$8))*COS(RADIANS('Data Entry-V'!C16))*COS(RADIANS((B2-'Data Entry-V'!B16)*15)))))</f>
        <v>#N/A</v>
      </c>
      <c r="D2" s="28" t="e">
        <f>1/(COS(2*ATAN(1)-(C2*(ATAN(1)/45))))</f>
        <v>#N/A</v>
      </c>
    </row>
    <row r="3" spans="1:4" x14ac:dyDescent="0.15">
      <c r="A3" s="28">
        <f>IF('Data Entry-V'!F18&gt;0.5,('Data Entry-V'!E18+2415019)+((((HOUR('Data Entry-V'!F18)*60)+MINUTE('Data Entry-V'!F18))/1440+SECOND('Data Entry-V'!F18)/86400+DAY('Data Entry-V'!E18))-0.5)-DAY('Data Entry-V'!E18),('Data Entry-V'!E18+2415019)+((((HOUR('Data Entry-V'!F18)*60)+MINUTE('Data Entry-V'!F18))/1440+SECOND('Data Entry-V'!F18)/86400+DAY('Data Entry-V'!E18))-1.5)-DAY('Data Entry-V'!E18)+1)</f>
        <v>2415018.5</v>
      </c>
      <c r="B3" s="28">
        <f>6.6925-'Data Entry-V'!$G$9+(24*((1.0027379093*(A3-2447892.5))-FLOOR(1.0027379093*(A3-2447892.5),1)))-(ROUNDDOWN(((6.6925-'Data Entry-V'!$G$9+(24*((1.0027379093*(A3-2447892.5))-FLOOR(1.0027379093*(A3-2447892.5),1))))/24),0)*24)</f>
        <v>6.5477721231826571</v>
      </c>
      <c r="C3" s="28" t="e">
        <f>DEGREES(ASIN((SIN(RADIANS('Data Entry-V'!$F$8))*SIN(RADIANS('Data Entry-V'!C18)))+(COS(RADIANS('Data Entry-V'!$F$8))*COS(RADIANS('Data Entry-V'!C18))*COS(RADIANS((B3-'Data Entry-V'!B18)*15)))))</f>
        <v>#N/A</v>
      </c>
      <c r="D3" s="28" t="e">
        <f t="shared" ref="D3" si="0">1/(COS(2*ATAN(1)-(C3*(ATAN(1)/45))))</f>
        <v>#N/A</v>
      </c>
    </row>
    <row r="4" spans="1:4" x14ac:dyDescent="0.15">
      <c r="A4" s="28">
        <f>IF('Data Entry-V'!F20&gt;0.5,('Data Entry-V'!E20+2415019)+((((HOUR('Data Entry-V'!F20)*60)+MINUTE('Data Entry-V'!F20))/1440+SECOND('Data Entry-V'!F20)/86400+DAY('Data Entry-V'!E20))-0.5)-DAY('Data Entry-V'!E20),('Data Entry-V'!E20+2415019)+((((HOUR('Data Entry-V'!F20)*60)+MINUTE('Data Entry-V'!F20))/1440+SECOND('Data Entry-V'!F20)/86400+DAY('Data Entry-V'!E20))-1.5)-DAY('Data Entry-V'!E20)+1)</f>
        <v>2415018.5</v>
      </c>
      <c r="B4" s="28">
        <f>6.6925-'Data Entry-V'!$G$9+(24*((1.0027379093*(A4-2447892.5))-FLOOR(1.0027379093*(A4-2447892.5),1)))-(ROUNDDOWN(((6.6925-'Data Entry-V'!$G$9+(24*((1.0027379093*(A4-2447892.5))-FLOOR(1.0027379093*(A4-2447892.5),1))))/24),0)*24)</f>
        <v>6.5477721231826571</v>
      </c>
      <c r="C4" s="28" t="e">
        <f>DEGREES(ASIN((SIN(RADIANS('Data Entry-V'!$F$8))*SIN(RADIANS('Data Entry-V'!C20)))+(COS(RADIANS('Data Entry-V'!$F$8))*COS(RADIANS('Data Entry-V'!C20))*COS(RADIANS((B4-'Data Entry-V'!B20)*15)))))</f>
        <v>#N/A</v>
      </c>
      <c r="D4" s="28" t="e">
        <f t="shared" ref="D4" si="1">1/(COS(2*ATAN(1)-(C4*(ATAN(1)/45))))</f>
        <v>#N/A</v>
      </c>
    </row>
    <row r="5" spans="1:4" x14ac:dyDescent="0.15">
      <c r="A5" s="28">
        <f>IF('Data Entry-V'!F22&gt;0.5,('Data Entry-V'!E22+2415019)+((((HOUR('Data Entry-V'!F22)*60)+MINUTE('Data Entry-V'!F22))/1440+SECOND('Data Entry-V'!F22)/86400+DAY('Data Entry-V'!E22))-0.5)-DAY('Data Entry-V'!E22),('Data Entry-V'!E22+2415019)+((((HOUR('Data Entry-V'!F22)*60)+MINUTE('Data Entry-V'!F22))/1440+SECOND('Data Entry-V'!F22)/86400+DAY('Data Entry-V'!E22))-1.5)-DAY('Data Entry-V'!E22)+1)</f>
        <v>2415018.5</v>
      </c>
      <c r="B5" s="28">
        <f>6.6925-'Data Entry-V'!$G$9+(24*((1.0027379093*(A5-2447892.5))-FLOOR(1.0027379093*(A5-2447892.5),1)))-(ROUNDDOWN(((6.6925-'Data Entry-V'!$G$9+(24*((1.0027379093*(A5-2447892.5))-FLOOR(1.0027379093*(A5-2447892.5),1))))/24),0)*24)</f>
        <v>6.5477721231826571</v>
      </c>
      <c r="C5" s="28" t="e">
        <f>DEGREES(ASIN((SIN(RADIANS('Data Entry-V'!$F$8))*SIN(RADIANS('Data Entry-V'!C22)))+(COS(RADIANS('Data Entry-V'!$F$8))*COS(RADIANS('Data Entry-V'!C22))*COS(RADIANS((B5-'Data Entry-V'!B22)*15)))))</f>
        <v>#N/A</v>
      </c>
      <c r="D5" s="28" t="e">
        <f t="shared" ref="D5" si="2">1/(COS(2*ATAN(1)-(C5*(ATAN(1)/45))))</f>
        <v>#N/A</v>
      </c>
    </row>
    <row r="6" spans="1:4" x14ac:dyDescent="0.15">
      <c r="A6" s="28">
        <f>IF('Data Entry-V'!F24&gt;0.5,('Data Entry-V'!E24+2415019)+((((HOUR('Data Entry-V'!F24)*60)+MINUTE('Data Entry-V'!F24))/1440+SECOND('Data Entry-V'!F24)/86400+DAY('Data Entry-V'!E24))-0.5)-DAY('Data Entry-V'!E24),('Data Entry-V'!E24+2415019)+((((HOUR('Data Entry-V'!F24)*60)+MINUTE('Data Entry-V'!F24))/1440+SECOND('Data Entry-V'!F24)/86400+DAY('Data Entry-V'!E24))-1.5)-DAY('Data Entry-V'!E24)+1)</f>
        <v>2415018.5</v>
      </c>
      <c r="B6" s="28">
        <f>6.6925-'Data Entry-V'!$G$9+(24*((1.0027379093*(A6-2447892.5))-FLOOR(1.0027379093*(A6-2447892.5),1)))-(ROUNDDOWN(((6.6925-'Data Entry-V'!$G$9+(24*((1.0027379093*(A6-2447892.5))-FLOOR(1.0027379093*(A6-2447892.5),1))))/24),0)*24)</f>
        <v>6.5477721231826571</v>
      </c>
      <c r="C6" s="28" t="e">
        <f>DEGREES(ASIN((SIN(RADIANS('Data Entry-V'!$F$8))*SIN(RADIANS('Data Entry-V'!C24)))+(COS(RADIANS('Data Entry-V'!$F$8))*COS(RADIANS('Data Entry-V'!C24))*COS(RADIANS((B6-'Data Entry-V'!B24)*15)))))</f>
        <v>#N/A</v>
      </c>
      <c r="D6" s="28" t="e">
        <f t="shared" ref="D6" si="3">1/(COS(2*ATAN(1)-(C6*(ATAN(1)/45))))</f>
        <v>#N/A</v>
      </c>
    </row>
  </sheetData>
  <sheetProtection sheet="1" objects="1" scenarios="1" selectLockedCells="1" selectUnlockedCells="1"/>
  <autoFilter ref="A1:D6" xr:uid="{00000000-0009-0000-0000-000003000000}"/>
  <pageMargins left="0.7" right="0.7" top="0.75" bottom="0.75" header="0.5" footer="0.5"/>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6"/>
  <sheetViews>
    <sheetView zoomScale="150" zoomScaleNormal="150" zoomScalePageLayoutView="150" workbookViewId="0">
      <selection activeCell="A7" sqref="A7"/>
    </sheetView>
  </sheetViews>
  <sheetFormatPr baseColWidth="10" defaultRowHeight="13" x14ac:dyDescent="0.15"/>
  <cols>
    <col min="1" max="1" width="15.6640625" customWidth="1"/>
  </cols>
  <sheetData>
    <row r="1" spans="1:4" ht="14" x14ac:dyDescent="0.15">
      <c r="A1" s="29" t="s">
        <v>17</v>
      </c>
      <c r="B1" s="29" t="s">
        <v>18</v>
      </c>
      <c r="C1" s="29" t="s">
        <v>19</v>
      </c>
      <c r="D1" s="29" t="s">
        <v>20</v>
      </c>
    </row>
    <row r="2" spans="1:4" x14ac:dyDescent="0.15">
      <c r="A2" s="28">
        <f>IF('Data Entry-B'!F16&gt;0.5,('Data Entry-B'!E16+2415019)+((((HOUR('Data Entry-B'!F16)*60)+MINUTE('Data Entry-B'!F16))/1440+SECOND('Data Entry-B'!F16)/86400+DAY('Data Entry-B'!E16))-0.5)-DAY('Data Entry-B'!E16),('Data Entry-B'!E16+2415019)+((((HOUR('Data Entry-B'!F16)*60)+MINUTE('Data Entry-B'!F16))/1440+SECOND('Data Entry-B'!F16)/86400+DAY('Data Entry-B'!E16))-1.5)-DAY('Data Entry-B'!E16)+1)</f>
        <v>2415018.5</v>
      </c>
      <c r="B2" s="28">
        <f>6.6925-'Data Entry-V'!$G$9+(24*((1.0027379093*(A2-2447892.5))-FLOOR(1.0027379093*(A2-2447892.5),1)))-(ROUNDDOWN(((6.6925-'Data Entry-V'!$G$9+(24*((1.0027379093*(A2-2447892.5))-FLOOR(1.0027379093*(A2-2447892.5),1))))/24),0)*24)</f>
        <v>6.5477721231826571</v>
      </c>
      <c r="C2" s="28" t="e">
        <f>DEGREES(ASIN((SIN(RADIANS('Data Entry-V'!$F$8))*SIN(RADIANS('Data Entry-B'!C16)))+(COS(RADIANS('Data Entry-V'!$F$8))*COS(RADIANS('Data Entry-B'!C16))*COS(RADIANS((B2-'Data Entry-B'!B16)*15)))))</f>
        <v>#N/A</v>
      </c>
      <c r="D2" s="28" t="e">
        <f>1/(COS(2*ATAN(1)-(C2*(ATAN(1)/45))))</f>
        <v>#N/A</v>
      </c>
    </row>
    <row r="3" spans="1:4" x14ac:dyDescent="0.15">
      <c r="A3" s="28">
        <f>IF('Data Entry-B'!F18&gt;0.5,('Data Entry-B'!E18+2415019)+((((HOUR('Data Entry-B'!F18)*60)+MINUTE('Data Entry-B'!F18))/1440+SECOND('Data Entry-B'!F18)/86400+DAY('Data Entry-B'!E18))-0.5)-DAY('Data Entry-B'!E18),('Data Entry-B'!E18+2415019)+((((HOUR('Data Entry-B'!F18)*60)+MINUTE('Data Entry-B'!F18))/1440+SECOND('Data Entry-B'!F18)/86400+DAY('Data Entry-B'!E18))-1.5)-DAY('Data Entry-B'!E18)+1)</f>
        <v>2415018.5</v>
      </c>
      <c r="B3" s="28">
        <f>6.6925-'Data Entry-V'!$G$9+(24*((1.0027379093*(A3-2447892.5))-FLOOR(1.0027379093*(A3-2447892.5),1)))-(ROUNDDOWN(((6.6925-'Data Entry-V'!$G$9+(24*((1.0027379093*(A3-2447892.5))-FLOOR(1.0027379093*(A3-2447892.5),1))))/24),0)*24)</f>
        <v>6.5477721231826571</v>
      </c>
      <c r="C3" s="28" t="e">
        <f>DEGREES(ASIN((SIN(RADIANS('Data Entry-V'!$F$8))*SIN(RADIANS('Data Entry-B'!C18)))+(COS(RADIANS('Data Entry-V'!$F$8))*COS(RADIANS('Data Entry-B'!C18))*COS(RADIANS((B3-'Data Entry-B'!B18)*15)))))</f>
        <v>#N/A</v>
      </c>
      <c r="D3" s="28" t="e">
        <f t="shared" ref="D3:D6" si="0">1/(COS(2*ATAN(1)-(C3*(ATAN(1)/45))))</f>
        <v>#N/A</v>
      </c>
    </row>
    <row r="4" spans="1:4" x14ac:dyDescent="0.15">
      <c r="A4" s="28">
        <f>IF('Data Entry-B'!F20&gt;0.5,('Data Entry-B'!E20+2415019)+((((HOUR('Data Entry-B'!F20)*60)+MINUTE('Data Entry-B'!F20))/1440+SECOND('Data Entry-B'!F20)/86400+DAY('Data Entry-B'!E20))-0.5)-DAY('Data Entry-B'!E20),('Data Entry-B'!E20+2415019)+((((HOUR('Data Entry-B'!F20)*60)+MINUTE('Data Entry-B'!F20))/1440+SECOND('Data Entry-B'!F20)/86400+DAY('Data Entry-B'!E20))-1.5)-DAY('Data Entry-B'!E20)+1)</f>
        <v>2415018.5</v>
      </c>
      <c r="B4" s="28">
        <f>6.6925-'Data Entry-V'!$G$9+(24*((1.0027379093*(A4-2447892.5))-FLOOR(1.0027379093*(A4-2447892.5),1)))-(ROUNDDOWN(((6.6925-'Data Entry-V'!$G$9+(24*((1.0027379093*(A4-2447892.5))-FLOOR(1.0027379093*(A4-2447892.5),1))))/24),0)*24)</f>
        <v>6.5477721231826571</v>
      </c>
      <c r="C4" s="28" t="e">
        <f>DEGREES(ASIN((SIN(RADIANS('Data Entry-V'!$F$8))*SIN(RADIANS('Data Entry-B'!C20)))+(COS(RADIANS('Data Entry-V'!$F$8))*COS(RADIANS('Data Entry-B'!C20))*COS(RADIANS((B4-'Data Entry-B'!B20)*15)))))</f>
        <v>#N/A</v>
      </c>
      <c r="D4" s="28" t="e">
        <f t="shared" si="0"/>
        <v>#N/A</v>
      </c>
    </row>
    <row r="5" spans="1:4" x14ac:dyDescent="0.15">
      <c r="A5" s="28">
        <f>IF('Data Entry-B'!F22&gt;0.5,('Data Entry-B'!E22+2415019)+((((HOUR('Data Entry-B'!F22)*60)+MINUTE('Data Entry-B'!F22))/1440+SECOND('Data Entry-B'!F22)/86400+DAY('Data Entry-B'!E22))-0.5)-DAY('Data Entry-B'!E22),('Data Entry-B'!E22+2415019)+((((HOUR('Data Entry-B'!F22)*60)+MINUTE('Data Entry-B'!F22))/1440+SECOND('Data Entry-B'!F22)/86400+DAY('Data Entry-B'!E22))-1.5)-DAY('Data Entry-B'!E22)+1)</f>
        <v>2415018.5</v>
      </c>
      <c r="B5" s="28">
        <f>6.6925-'Data Entry-V'!$G$9+(24*((1.0027379093*(A5-2447892.5))-FLOOR(1.0027379093*(A5-2447892.5),1)))-(ROUNDDOWN(((6.6925-'Data Entry-V'!$G$9+(24*((1.0027379093*(A5-2447892.5))-FLOOR(1.0027379093*(A5-2447892.5),1))))/24),0)*24)</f>
        <v>6.5477721231826571</v>
      </c>
      <c r="C5" s="28" t="e">
        <f>DEGREES(ASIN((SIN(RADIANS('Data Entry-V'!$F$8))*SIN(RADIANS('Data Entry-B'!C22)))+(COS(RADIANS('Data Entry-V'!$F$8))*COS(RADIANS('Data Entry-B'!C22))*COS(RADIANS((B5-'Data Entry-B'!B22)*15)))))</f>
        <v>#N/A</v>
      </c>
      <c r="D5" s="28" t="e">
        <f t="shared" si="0"/>
        <v>#N/A</v>
      </c>
    </row>
    <row r="6" spans="1:4" x14ac:dyDescent="0.15">
      <c r="A6" s="28">
        <f>IF('Data Entry-B'!F24&gt;0.5,('Data Entry-B'!E24+2415019)+((((HOUR('Data Entry-B'!F24)*60)+MINUTE('Data Entry-B'!F24))/1440+SECOND('Data Entry-B'!F24)/86400+DAY('Data Entry-B'!E24))-0.5)-DAY('Data Entry-B'!E24),('Data Entry-B'!E24+2415019)+((((HOUR('Data Entry-B'!F24)*60)+MINUTE('Data Entry-B'!F24))/1440+SECOND('Data Entry-B'!F24)/86400+DAY('Data Entry-B'!E24))-1.5)-DAY('Data Entry-B'!E24)+1)</f>
        <v>2415018.5</v>
      </c>
      <c r="B6" s="28">
        <f>6.6925-'Data Entry-V'!$G$9+(24*((1.0027379093*(A6-2447892.5))-FLOOR(1.0027379093*(A6-2447892.5),1)))-(ROUNDDOWN(((6.6925-'Data Entry-V'!$G$9+(24*((1.0027379093*(A6-2447892.5))-FLOOR(1.0027379093*(A6-2447892.5),1))))/24),0)*24)</f>
        <v>6.5477721231826571</v>
      </c>
      <c r="C6" s="28" t="e">
        <f>DEGREES(ASIN((SIN(RADIANS('Data Entry-V'!$F$8))*SIN(RADIANS('Data Entry-B'!C24)))+(COS(RADIANS('Data Entry-V'!$F$8))*COS(RADIANS('Data Entry-B'!C24))*COS(RADIANS((B6-'Data Entry-B'!B24)*15)))))</f>
        <v>#N/A</v>
      </c>
      <c r="D6" s="28" t="e">
        <f t="shared" si="0"/>
        <v>#N/A</v>
      </c>
    </row>
  </sheetData>
  <sheetProtection sheet="1" objects="1" scenarios="1" selectLockedCells="1" selectUnlockedCells="1"/>
  <pageMargins left="0.7" right="0.7" top="0.75" bottom="0.75" header="0.5" footer="0.5"/>
  <pageSetup paperSize="9"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7"/>
  <sheetViews>
    <sheetView topLeftCell="A2" zoomScale="150" zoomScaleNormal="150" zoomScalePageLayoutView="150" workbookViewId="0">
      <selection activeCell="A17" sqref="A17"/>
    </sheetView>
  </sheetViews>
  <sheetFormatPr baseColWidth="10" defaultRowHeight="16" x14ac:dyDescent="0.2"/>
  <cols>
    <col min="1" max="1" width="99.83203125" style="22" customWidth="1"/>
    <col min="2" max="16384" width="10.83203125" style="22"/>
  </cols>
  <sheetData>
    <row r="1" spans="1:1" ht="17" x14ac:dyDescent="0.2">
      <c r="A1" s="42" t="s">
        <v>129</v>
      </c>
    </row>
    <row r="2" spans="1:1" x14ac:dyDescent="0.2">
      <c r="A2" s="42"/>
    </row>
    <row r="3" spans="1:1" ht="17" x14ac:dyDescent="0.2">
      <c r="A3" s="53" t="s">
        <v>131</v>
      </c>
    </row>
    <row r="4" spans="1:1" ht="51" x14ac:dyDescent="0.2">
      <c r="A4" s="27" t="s">
        <v>150</v>
      </c>
    </row>
    <row r="5" spans="1:1" ht="51" x14ac:dyDescent="0.2">
      <c r="A5" s="27" t="s">
        <v>151</v>
      </c>
    </row>
    <row r="6" spans="1:1" ht="34" x14ac:dyDescent="0.2">
      <c r="A6" s="27" t="s">
        <v>154</v>
      </c>
    </row>
    <row r="7" spans="1:1" x14ac:dyDescent="0.2">
      <c r="A7" s="42"/>
    </row>
    <row r="8" spans="1:1" ht="17" x14ac:dyDescent="0.2">
      <c r="A8" s="53" t="s">
        <v>132</v>
      </c>
    </row>
    <row r="9" spans="1:1" ht="17" x14ac:dyDescent="0.2">
      <c r="A9" s="27" t="s">
        <v>155</v>
      </c>
    </row>
    <row r="10" spans="1:1" ht="51" x14ac:dyDescent="0.2">
      <c r="A10" s="42" t="s">
        <v>130</v>
      </c>
    </row>
    <row r="11" spans="1:1" ht="51" x14ac:dyDescent="0.2">
      <c r="A11" s="27" t="s">
        <v>156</v>
      </c>
    </row>
    <row r="12" spans="1:1" x14ac:dyDescent="0.2">
      <c r="A12" s="42"/>
    </row>
    <row r="13" spans="1:1" ht="17" x14ac:dyDescent="0.2">
      <c r="A13" s="53" t="s">
        <v>157</v>
      </c>
    </row>
    <row r="14" spans="1:1" ht="34" x14ac:dyDescent="0.2">
      <c r="A14" s="27" t="s">
        <v>158</v>
      </c>
    </row>
    <row r="15" spans="1:1" ht="49" customHeight="1" x14ac:dyDescent="0.2">
      <c r="A15" s="27" t="s">
        <v>160</v>
      </c>
    </row>
    <row r="16" spans="1:1" ht="34" x14ac:dyDescent="0.2">
      <c r="A16" s="27" t="s">
        <v>164</v>
      </c>
    </row>
    <row r="17" spans="1:1" ht="17" x14ac:dyDescent="0.2">
      <c r="A17" s="42" t="s">
        <v>133</v>
      </c>
    </row>
    <row r="18" spans="1:1" x14ac:dyDescent="0.2">
      <c r="A18" s="27"/>
    </row>
    <row r="19" spans="1:1" ht="17" x14ac:dyDescent="0.2">
      <c r="A19" s="52" t="s">
        <v>159</v>
      </c>
    </row>
    <row r="20" spans="1:1" x14ac:dyDescent="0.2">
      <c r="A20" s="27"/>
    </row>
    <row r="21" spans="1:1" x14ac:dyDescent="0.2">
      <c r="A21" s="27"/>
    </row>
    <row r="22" spans="1:1" x14ac:dyDescent="0.2">
      <c r="A22" s="27"/>
    </row>
    <row r="23" spans="1:1" x14ac:dyDescent="0.2">
      <c r="A23" s="27"/>
    </row>
    <row r="24" spans="1:1" x14ac:dyDescent="0.2">
      <c r="A24" s="27"/>
    </row>
    <row r="25" spans="1:1" x14ac:dyDescent="0.2">
      <c r="A25" s="27"/>
    </row>
    <row r="26" spans="1:1" x14ac:dyDescent="0.2">
      <c r="A26" s="27"/>
    </row>
    <row r="27" spans="1:1" x14ac:dyDescent="0.2">
      <c r="A27" s="27"/>
    </row>
    <row r="28" spans="1:1" x14ac:dyDescent="0.2">
      <c r="A28" s="27"/>
    </row>
    <row r="29" spans="1:1" x14ac:dyDescent="0.2">
      <c r="A29" s="27"/>
    </row>
    <row r="30" spans="1:1" x14ac:dyDescent="0.2">
      <c r="A30" s="27"/>
    </row>
    <row r="31" spans="1:1" x14ac:dyDescent="0.2">
      <c r="A31" s="27"/>
    </row>
    <row r="32" spans="1:1" x14ac:dyDescent="0.2">
      <c r="A32" s="27"/>
    </row>
    <row r="33" spans="1:1" x14ac:dyDescent="0.2">
      <c r="A33" s="27"/>
    </row>
    <row r="34" spans="1:1" x14ac:dyDescent="0.2">
      <c r="A34" s="27"/>
    </row>
    <row r="35" spans="1:1" x14ac:dyDescent="0.2">
      <c r="A35" s="27"/>
    </row>
    <row r="36" spans="1:1" x14ac:dyDescent="0.2">
      <c r="A36" s="27"/>
    </row>
    <row r="37" spans="1:1" x14ac:dyDescent="0.2">
      <c r="A37" s="27"/>
    </row>
    <row r="38" spans="1:1" x14ac:dyDescent="0.2">
      <c r="A38" s="27"/>
    </row>
    <row r="39" spans="1:1" x14ac:dyDescent="0.2">
      <c r="A39" s="27"/>
    </row>
    <row r="40" spans="1:1" x14ac:dyDescent="0.2">
      <c r="A40" s="27"/>
    </row>
    <row r="41" spans="1:1" x14ac:dyDescent="0.2">
      <c r="A41" s="27"/>
    </row>
    <row r="42" spans="1:1" x14ac:dyDescent="0.2">
      <c r="A42" s="27"/>
    </row>
    <row r="43" spans="1:1" x14ac:dyDescent="0.2">
      <c r="A43" s="27"/>
    </row>
    <row r="44" spans="1:1" x14ac:dyDescent="0.2">
      <c r="A44" s="27"/>
    </row>
    <row r="47" spans="1:1" x14ac:dyDescent="0.2">
      <c r="A47" s="23"/>
    </row>
  </sheetData>
  <sheetProtection sheet="1" objects="1" scenarios="1"/>
  <pageMargins left="0.7" right="0.7" top="0.75" bottom="0.75" header="0.5" footer="0.5"/>
  <pageSetup paperSize="9"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6</vt:i4>
      </vt:variant>
    </vt:vector>
  </HeadingPairs>
  <TitlesOfParts>
    <vt:vector size="6" baseType="lpstr">
      <vt:lpstr>Data Entry-V</vt:lpstr>
      <vt:lpstr>Data Entry-B</vt:lpstr>
      <vt:lpstr>Stars</vt:lpstr>
      <vt:lpstr>Airmass-V</vt:lpstr>
      <vt:lpstr>Airmass-B</vt:lpstr>
      <vt:lpstr>Read 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2016-03-13T00:18:31Z</dcterms:created>
  <dcterms:modified xsi:type="dcterms:W3CDTF">2023-04-11T09:07:03Z</dcterms:modified>
</cp:coreProperties>
</file>